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A\ICE\MK-3475\Scoring Model AB2024\Domino24\Step4 HCP vs Consumer\Brand Level Models\"/>
    </mc:Choice>
  </mc:AlternateContent>
  <xr:revisionPtr revIDLastSave="0" documentId="13_ncr:1_{6DC49105-FBB8-471C-BB69-F4862521E241}" xr6:coauthVersionLast="47" xr6:coauthVersionMax="47" xr10:uidLastSave="{00000000-0000-0000-0000-000000000000}"/>
  <bookViews>
    <workbookView xWindow="-110" yWindow="-110" windowWidth="19420" windowHeight="10420" firstSheet="12" activeTab="14" xr2:uid="{5BD39DD0-7747-4D60-B620-D8631EEC990F}"/>
  </bookViews>
  <sheets>
    <sheet name="Raw Forecasting NPS Data" sheetId="1" r:id="rId1"/>
    <sheet name="Raw Sales Forecasting Data" sheetId="10" r:id="rId2"/>
    <sheet name="Finance to Brand Mapping" sheetId="5" r:id="rId3"/>
    <sheet name="PGM Values" sheetId="9" r:id="rId4"/>
    <sheet name="NPS with launch Dates " sheetId="4" r:id="rId5"/>
    <sheet name="Tumor Priority" sheetId="23" r:id="rId6"/>
    <sheet name="Launch flag &amp; Life-Cycle Factor" sheetId="27" r:id="rId7"/>
    <sheet name="2024 launches" sheetId="33" r:id="rId8"/>
    <sheet name="MCODE Final Mapping" sheetId="12" r:id="rId9"/>
    <sheet name="2024 Unique Customer Segment" sheetId="40" r:id="rId10"/>
    <sheet name="2024 Consumer Focus" sheetId="32" r:id="rId11"/>
    <sheet name="2024 Competitive Landscape" sheetId="34" r:id="rId12"/>
    <sheet name="1. NPS Key &amp; Key-Lyn" sheetId="25" r:id="rId13"/>
    <sheet name="2.  Sales Data Key &amp; Key-Lyn" sheetId="26" r:id="rId14"/>
    <sheet name="Modelling Budget" sheetId="39" r:id="rId15"/>
    <sheet name="3.1 Model Assumptions &amp; Inputs" sheetId="30" r:id="rId16"/>
    <sheet name="3.2 Model Logic" sheetId="28" r:id="rId17"/>
    <sheet name="3.3 Membership Func. for Model" sheetId="29" r:id="rId18"/>
    <sheet name="4.1 Output - Key $ by Tumor" sheetId="35" r:id="rId19"/>
    <sheet name="Historical Splits" sheetId="36" r:id="rId20"/>
    <sheet name="4.2 output - HCP Consumer $" sheetId="37" r:id="rId21"/>
    <sheet name="5.1 Output-HCP Pan&amp;Mcode $" sheetId="38" r:id="rId22"/>
    <sheet name="Compare to last year" sheetId="42" r:id="rId23"/>
    <sheet name="4.1 Output - Key $ by Tumor-OLD" sheetId="41" r:id="rId24"/>
    <sheet name="NOTES" sheetId="43" r:id="rId25"/>
  </sheets>
  <externalReferences>
    <externalReference r:id="rId26"/>
  </externalReferences>
  <definedNames>
    <definedName name="_xlnm._FilterDatabase" localSheetId="12" hidden="1">'1. NPS Key &amp; Key-Lyn'!$B$5:$H$120</definedName>
    <definedName name="_xlnm._FilterDatabase" localSheetId="13" hidden="1">'2.  Sales Data Key &amp; Key-Lyn'!$B$6:$W$61</definedName>
    <definedName name="_xlnm._FilterDatabase" localSheetId="9" hidden="1">'2024 Unique Customer Segment'!$F$4:$I$75</definedName>
    <definedName name="_xlnm._FilterDatabase" localSheetId="15" hidden="1">'3.1 Model Assumptions &amp; Inputs'!$B$20:$R$70</definedName>
    <definedName name="_xlnm._FilterDatabase" localSheetId="16" hidden="1">'3.2 Model Logic'!$B$9:$AG$59</definedName>
    <definedName name="_xlnm._FilterDatabase" localSheetId="2" hidden="1">'Finance to Brand Mapping'!$C$6:$D$82</definedName>
    <definedName name="_xlnm._FilterDatabase" localSheetId="8" hidden="1">'MCODE Final Mapping'!$B$5:$E$76</definedName>
    <definedName name="_xlnm._FilterDatabase" localSheetId="4" hidden="1">'NPS with launch Dates '!$B$5:$E$166</definedName>
    <definedName name="_xlnm._FilterDatabase" localSheetId="0" hidden="1">'Raw Forecasting NPS Data'!$C$5:$AI$166</definedName>
    <definedName name="_xlnm._FilterDatabase" localSheetId="1" hidden="1">'Raw Sales Forecasting Data'!$C$9:$N$126</definedName>
    <definedName name="_xlnm._FilterDatabase" localSheetId="5" hidden="1">'Tumor Priority'!$B$5:$C$81</definedName>
    <definedName name="AA2022consumer">'Historical Splits'!$A$50:$B$67</definedName>
    <definedName name="histsplit">'Historical Splits'!$A$30:$I$40</definedName>
    <definedName name="histsplit2">'Historical Splits'!$A$10:$X$22</definedName>
    <definedName name="launch">'2024 launches'!$S$7:$W$20</definedName>
    <definedName name="V1_Xs">'3.3 Membership Func. for Model'!$C$5:$C$11</definedName>
    <definedName name="V1_Ys">'3.3 Membership Func. for Model'!$D$5:$D$11</definedName>
    <definedName name="V10_Xs">'3.3 Membership Func. for Model'!$C$41:$C$43</definedName>
    <definedName name="V10_Ys">'3.3 Membership Func. for Model'!$D$41:$D$43</definedName>
    <definedName name="V11_Xs">'3.3 Membership Func. for Model'!$C$44:$C$46</definedName>
    <definedName name="V11_XYs">'3.3 Membership Func. for Model'!$C$44:$D$46</definedName>
    <definedName name="V11_Ys">'3.3 Membership Func. for Model'!$D$44:$D$46</definedName>
    <definedName name="V12_XYs">'3.3 Membership Func. for Model'!$C$47:$D$50</definedName>
    <definedName name="V13_XYs">'3.3 Membership Func. for Model'!$C$56:$D$58</definedName>
    <definedName name="V14_Xs">'3.3 Membership Func. for Model'!$C$59:$C$62</definedName>
    <definedName name="V14_Ys">'3.3 Membership Func. for Model'!$D$59:$D$62</definedName>
    <definedName name="V15_XYs">'3.3 Membership Func. for Model'!$C$63:$D$65</definedName>
    <definedName name="V16_XYs">'3.3 Membership Func. for Model'!$C$71:$D$73</definedName>
    <definedName name="V17_XYs">'3.3 Membership Func. for Model'!$C$74:$D$76</definedName>
    <definedName name="V18_XYs">'3.3 Membership Func. for Model'!$C$82:$D$84</definedName>
    <definedName name="V19_XYs">'3.3 Membership Func. for Model'!$C$85:$D$87</definedName>
    <definedName name="V2_Xs">'3.3 Membership Func. for Model'!$C$12:$C$16</definedName>
    <definedName name="V2_Ys">'3.3 Membership Func. for Model'!$D$12:$D$16</definedName>
    <definedName name="V3_Xs">'3.3 Membership Func. for Model'!$C$17:$C$21</definedName>
    <definedName name="V3_Ys">'3.3 Membership Func. for Model'!$D$17:$D$21</definedName>
    <definedName name="V4_Xs">'3.3 Membership Func. for Model'!$C$22:$C$24</definedName>
    <definedName name="V4_Ys">'3.3 Membership Func. for Model'!$D$22:$D$24</definedName>
    <definedName name="V5_Xs">'3.3 Membership Func. for Model'!$C$25:$C$27</definedName>
    <definedName name="V5_Ys">'3.3 Membership Func. for Model'!$D$25:$D$27</definedName>
    <definedName name="V6_Xs">'3.3 Membership Func. for Model'!$C$28:$C$30</definedName>
    <definedName name="V6_Ys">'3.3 Membership Func. for Model'!$D$28:$D$30</definedName>
    <definedName name="V7_XYs">'3.3 Membership Func. for Model'!$C$31:$D$33</definedName>
    <definedName name="V8_XYs">'3.3 Membership Func. for Model'!$C$34:$D$37</definedName>
    <definedName name="V9_Xs">'3.3 Membership Func. for Model'!$C$38:$C$40</definedName>
    <definedName name="V9_Ys">'3.3 Membership Func. for Model'!$D$38:$D$40</definedName>
  </definedNames>
  <calcPr calcId="191029"/>
  <pivotCaches>
    <pivotCache cacheId="0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30" l="1"/>
  <c r="F55" i="37"/>
  <c r="L20" i="42"/>
  <c r="L17" i="42"/>
  <c r="L15" i="42"/>
  <c r="L13" i="42"/>
  <c r="L12" i="42"/>
  <c r="L11" i="42"/>
  <c r="L10" i="42"/>
  <c r="L9" i="42"/>
  <c r="L7" i="42"/>
  <c r="L5" i="42"/>
  <c r="AA59" i="28"/>
  <c r="AA58" i="28"/>
  <c r="AA57" i="28"/>
  <c r="AA56" i="28"/>
  <c r="AA55" i="28"/>
  <c r="AA54" i="28"/>
  <c r="AA53" i="28"/>
  <c r="AA52" i="28"/>
  <c r="AA51" i="28"/>
  <c r="AA50" i="28"/>
  <c r="AA49" i="28"/>
  <c r="AA48" i="28"/>
  <c r="AA47" i="28"/>
  <c r="AA46" i="28"/>
  <c r="AA45" i="28"/>
  <c r="AA44" i="28"/>
  <c r="AA43" i="28"/>
  <c r="AA42" i="28"/>
  <c r="AA41" i="28"/>
  <c r="AA40" i="28"/>
  <c r="AA39" i="28"/>
  <c r="AA38" i="28"/>
  <c r="AA37" i="28"/>
  <c r="AA36" i="28"/>
  <c r="AA35" i="28"/>
  <c r="AA34" i="28"/>
  <c r="AA33" i="28"/>
  <c r="AA32" i="28"/>
  <c r="AA31" i="28"/>
  <c r="AA30" i="28"/>
  <c r="AA29" i="28"/>
  <c r="AA28" i="28"/>
  <c r="AA27" i="28"/>
  <c r="AA26" i="28"/>
  <c r="AA25" i="28"/>
  <c r="AA24" i="28"/>
  <c r="AA23" i="28"/>
  <c r="AA22" i="28"/>
  <c r="AA21" i="28"/>
  <c r="AA20" i="28"/>
  <c r="AA19" i="28"/>
  <c r="AA18" i="28"/>
  <c r="AA17" i="28"/>
  <c r="AA16" i="28"/>
  <c r="AA15" i="28"/>
  <c r="AA14" i="28"/>
  <c r="AA13" i="28"/>
  <c r="AA12" i="28"/>
  <c r="AA11" i="28"/>
  <c r="C46" i="29"/>
  <c r="D45" i="29"/>
  <c r="AA10" i="28" s="1"/>
  <c r="D44" i="29"/>
  <c r="R70" i="30"/>
  <c r="R69" i="30"/>
  <c r="R68" i="30"/>
  <c r="R67" i="30"/>
  <c r="R66" i="30"/>
  <c r="R65" i="30"/>
  <c r="R64" i="30"/>
  <c r="R63" i="30"/>
  <c r="R62" i="30"/>
  <c r="R61" i="30"/>
  <c r="R60" i="30"/>
  <c r="R59" i="30"/>
  <c r="R58" i="30"/>
  <c r="R57" i="30"/>
  <c r="R56" i="30"/>
  <c r="R55" i="30"/>
  <c r="R54" i="30"/>
  <c r="R53" i="30"/>
  <c r="R52" i="30"/>
  <c r="R51" i="30"/>
  <c r="R50" i="30"/>
  <c r="R49" i="30"/>
  <c r="R48" i="30"/>
  <c r="R47" i="30"/>
  <c r="R46" i="30"/>
  <c r="R45" i="30"/>
  <c r="R44" i="30"/>
  <c r="R43" i="30"/>
  <c r="R42" i="30"/>
  <c r="R41" i="30"/>
  <c r="R40" i="30"/>
  <c r="R39" i="30"/>
  <c r="R38" i="30"/>
  <c r="R37" i="30"/>
  <c r="R36" i="30"/>
  <c r="R35" i="30"/>
  <c r="R34" i="30"/>
  <c r="R33" i="30"/>
  <c r="R32" i="30"/>
  <c r="R31" i="30"/>
  <c r="R30" i="30"/>
  <c r="R29" i="30"/>
  <c r="R28" i="30"/>
  <c r="R27" i="30"/>
  <c r="R26" i="30"/>
  <c r="R25" i="30"/>
  <c r="R24" i="30"/>
  <c r="R23" i="30"/>
  <c r="R22" i="30"/>
  <c r="R21" i="30"/>
  <c r="G49" i="37"/>
  <c r="G51" i="37"/>
  <c r="E53" i="37"/>
  <c r="L22" i="42" l="1"/>
  <c r="J17" i="42"/>
  <c r="J15" i="42"/>
  <c r="J13" i="42"/>
  <c r="J12" i="42"/>
  <c r="B17" i="42"/>
  <c r="B16" i="42"/>
  <c r="B15" i="42"/>
  <c r="B14" i="42"/>
  <c r="B13" i="42"/>
  <c r="B12" i="42"/>
  <c r="B11" i="42"/>
  <c r="B10" i="42"/>
  <c r="B9" i="42"/>
  <c r="B8" i="42"/>
  <c r="B7" i="42"/>
  <c r="B6" i="42"/>
  <c r="B5" i="42"/>
  <c r="J11" i="42"/>
  <c r="J10" i="42"/>
  <c r="J9" i="42"/>
  <c r="J7" i="42"/>
  <c r="J20" i="42"/>
  <c r="D48" i="42"/>
  <c r="E48" i="42"/>
  <c r="F48" i="42"/>
  <c r="G48" i="42"/>
  <c r="H48" i="42"/>
  <c r="I48" i="42"/>
  <c r="J5" i="42" s="1"/>
  <c r="C48" i="42"/>
  <c r="C53" i="36"/>
  <c r="C47" i="28"/>
  <c r="N70" i="30"/>
  <c r="N69" i="30"/>
  <c r="N68" i="30"/>
  <c r="N67" i="30"/>
  <c r="N66" i="30"/>
  <c r="N65" i="30"/>
  <c r="N64" i="30"/>
  <c r="N63" i="30"/>
  <c r="N62" i="30"/>
  <c r="N61" i="30"/>
  <c r="N60" i="30"/>
  <c r="N59" i="30"/>
  <c r="N58" i="30"/>
  <c r="N57" i="30"/>
  <c r="N56" i="30"/>
  <c r="N55" i="30"/>
  <c r="N54" i="30"/>
  <c r="N53" i="30"/>
  <c r="N52" i="30"/>
  <c r="N51" i="30"/>
  <c r="N50" i="30"/>
  <c r="N49" i="30"/>
  <c r="N48" i="30"/>
  <c r="N47" i="30"/>
  <c r="N46" i="30"/>
  <c r="N45" i="30"/>
  <c r="N44" i="30"/>
  <c r="N43" i="30"/>
  <c r="N42" i="30"/>
  <c r="N41" i="30"/>
  <c r="N40" i="30"/>
  <c r="N39" i="30"/>
  <c r="N38" i="30"/>
  <c r="N37" i="30"/>
  <c r="N36" i="30"/>
  <c r="N35" i="30"/>
  <c r="N34" i="30"/>
  <c r="N33" i="30"/>
  <c r="N32" i="30"/>
  <c r="N31" i="30"/>
  <c r="N30" i="30"/>
  <c r="N29" i="30"/>
  <c r="N28" i="30"/>
  <c r="N27" i="30"/>
  <c r="N26" i="30"/>
  <c r="N25" i="30"/>
  <c r="N24" i="30"/>
  <c r="N23" i="30"/>
  <c r="N22" i="30"/>
  <c r="N21" i="30"/>
  <c r="N43" i="37"/>
  <c r="N42" i="37"/>
  <c r="N41" i="37"/>
  <c r="N40" i="37"/>
  <c r="N39" i="37"/>
  <c r="N38" i="37"/>
  <c r="N37" i="37"/>
  <c r="N36" i="37"/>
  <c r="N35" i="37"/>
  <c r="N34" i="37"/>
  <c r="N33" i="37"/>
  <c r="N32" i="37"/>
  <c r="N31" i="37"/>
  <c r="M43" i="37"/>
  <c r="M42" i="37"/>
  <c r="M41" i="37"/>
  <c r="M40" i="37"/>
  <c r="M39" i="37"/>
  <c r="M38" i="37"/>
  <c r="M37" i="37"/>
  <c r="M36" i="37"/>
  <c r="M35" i="37"/>
  <c r="M34" i="37"/>
  <c r="M33" i="37"/>
  <c r="M32" i="37"/>
  <c r="M31" i="37"/>
  <c r="D17" i="37"/>
  <c r="C17" i="37"/>
  <c r="B17" i="37"/>
  <c r="D16" i="37"/>
  <c r="C16" i="37"/>
  <c r="B16" i="37"/>
  <c r="J22" i="42" l="1"/>
  <c r="C34" i="38"/>
  <c r="C33" i="38"/>
  <c r="C32" i="38"/>
  <c r="C31" i="38"/>
  <c r="E19" i="38"/>
  <c r="D19" i="38"/>
  <c r="E26" i="38"/>
  <c r="D26" i="38"/>
  <c r="E25" i="38"/>
  <c r="E20" i="38" s="1"/>
  <c r="D25" i="38"/>
  <c r="D20" i="38" s="1"/>
  <c r="E24" i="38"/>
  <c r="D24" i="38"/>
  <c r="E23" i="38"/>
  <c r="D23" i="38"/>
  <c r="E22" i="38"/>
  <c r="D22" i="38"/>
  <c r="E21" i="38"/>
  <c r="D21" i="38"/>
  <c r="E18" i="38"/>
  <c r="D18" i="38"/>
  <c r="E17" i="38"/>
  <c r="D17" i="38"/>
  <c r="E16" i="38"/>
  <c r="D16" i="38"/>
  <c r="E15" i="38"/>
  <c r="D15" i="38"/>
  <c r="E14" i="38"/>
  <c r="D14" i="38"/>
  <c r="C35" i="38" l="1"/>
  <c r="L7" i="36"/>
  <c r="J22" i="36"/>
  <c r="J21" i="36"/>
  <c r="J20" i="36"/>
  <c r="J19" i="36"/>
  <c r="J18" i="36"/>
  <c r="J17" i="36"/>
  <c r="J14" i="36"/>
  <c r="J13" i="36"/>
  <c r="J12" i="36"/>
  <c r="J11" i="36"/>
  <c r="J10" i="36"/>
  <c r="D32" i="38" l="1"/>
  <c r="D33" i="38"/>
  <c r="D34" i="38"/>
  <c r="D31" i="38"/>
  <c r="D53" i="36"/>
  <c r="E53" i="36"/>
  <c r="E32" i="36"/>
  <c r="E31" i="36"/>
  <c r="E36" i="36"/>
  <c r="D32" i="36"/>
  <c r="D31" i="36"/>
  <c r="D39" i="36"/>
  <c r="D37" i="36"/>
  <c r="D35" i="38" l="1"/>
  <c r="N65" i="41"/>
  <c r="J65" i="41"/>
  <c r="G65" i="41"/>
  <c r="F65" i="41"/>
  <c r="E65" i="41"/>
  <c r="D65" i="41"/>
  <c r="C65" i="41"/>
  <c r="B65" i="41"/>
  <c r="H65" i="41" s="1"/>
  <c r="H64" i="41"/>
  <c r="H63" i="41"/>
  <c r="H62" i="41"/>
  <c r="H61" i="41"/>
  <c r="H60" i="41"/>
  <c r="H59" i="41"/>
  <c r="H58" i="41"/>
  <c r="H57" i="41"/>
  <c r="H56" i="41"/>
  <c r="H55" i="41"/>
  <c r="H54" i="41"/>
  <c r="H53" i="41"/>
  <c r="H52" i="41"/>
  <c r="H51" i="41"/>
  <c r="H50" i="41"/>
  <c r="H49" i="41"/>
  <c r="N44" i="41"/>
  <c r="J44" i="41"/>
  <c r="G44" i="41"/>
  <c r="F44" i="41"/>
  <c r="E44" i="41"/>
  <c r="D44" i="41"/>
  <c r="C44" i="41"/>
  <c r="B44" i="41"/>
  <c r="H44" i="41" s="1"/>
  <c r="P44" i="41" s="1"/>
  <c r="H43" i="41"/>
  <c r="H42" i="41"/>
  <c r="H41" i="41"/>
  <c r="H40" i="41"/>
  <c r="H39" i="41"/>
  <c r="H38" i="41"/>
  <c r="H37" i="41"/>
  <c r="H36" i="41"/>
  <c r="H35" i="41"/>
  <c r="H34" i="41"/>
  <c r="H33" i="41"/>
  <c r="H32" i="41"/>
  <c r="H31" i="41"/>
  <c r="H30" i="41"/>
  <c r="H29" i="41"/>
  <c r="H28" i="41"/>
  <c r="N24" i="41"/>
  <c r="J24" i="41"/>
  <c r="H6" i="41"/>
  <c r="G6" i="41"/>
  <c r="F6" i="41"/>
  <c r="E6" i="41"/>
  <c r="D6" i="41"/>
  <c r="C6" i="41"/>
  <c r="P65" i="41" l="1"/>
  <c r="O65" i="41"/>
  <c r="L65" i="41"/>
  <c r="K65" i="41"/>
  <c r="K44" i="41"/>
  <c r="L44" i="41"/>
  <c r="O44" i="41"/>
  <c r="L24" i="41" l="1"/>
  <c r="P24" i="41" l="1"/>
  <c r="O24" i="41"/>
  <c r="K24" i="41"/>
  <c r="P70" i="30"/>
  <c r="P69" i="30"/>
  <c r="P68" i="30"/>
  <c r="P67" i="30"/>
  <c r="P66" i="30"/>
  <c r="P65" i="30"/>
  <c r="P64" i="30"/>
  <c r="P63" i="30"/>
  <c r="P62" i="30"/>
  <c r="P61" i="30"/>
  <c r="P60" i="30"/>
  <c r="P59" i="30"/>
  <c r="P58" i="30"/>
  <c r="P57" i="30"/>
  <c r="P56" i="30"/>
  <c r="P55" i="30"/>
  <c r="P54" i="30"/>
  <c r="P53" i="30"/>
  <c r="P52" i="30"/>
  <c r="P51" i="30"/>
  <c r="P50" i="30"/>
  <c r="P49" i="30"/>
  <c r="P48" i="30"/>
  <c r="P47" i="30"/>
  <c r="P46" i="30"/>
  <c r="P45" i="30"/>
  <c r="P44" i="30"/>
  <c r="P43" i="30"/>
  <c r="P42" i="30"/>
  <c r="P41" i="30"/>
  <c r="P40" i="30"/>
  <c r="P39" i="30"/>
  <c r="P38" i="30"/>
  <c r="P37" i="30"/>
  <c r="P36" i="30"/>
  <c r="P35" i="30"/>
  <c r="P34" i="30"/>
  <c r="P33" i="30"/>
  <c r="P32" i="30"/>
  <c r="P31" i="30"/>
  <c r="P30" i="30"/>
  <c r="P29" i="30"/>
  <c r="P28" i="30"/>
  <c r="P27" i="30"/>
  <c r="P26" i="30"/>
  <c r="P25" i="30"/>
  <c r="P24" i="30"/>
  <c r="P23" i="30"/>
  <c r="P22" i="30"/>
  <c r="P21" i="30"/>
  <c r="AD6" i="28"/>
  <c r="Z6" i="28"/>
  <c r="V6" i="28"/>
  <c r="Q6" i="28"/>
  <c r="M6" i="28"/>
  <c r="I6" i="28"/>
  <c r="E70" i="30"/>
  <c r="E69" i="30"/>
  <c r="E68" i="30"/>
  <c r="E67" i="30"/>
  <c r="E66" i="30"/>
  <c r="E65" i="30"/>
  <c r="E64" i="30"/>
  <c r="E63" i="30"/>
  <c r="E62" i="30"/>
  <c r="E61" i="30"/>
  <c r="E60" i="30"/>
  <c r="E59" i="30"/>
  <c r="E58" i="30"/>
  <c r="E57" i="30"/>
  <c r="E56" i="30"/>
  <c r="E55" i="30"/>
  <c r="E54" i="30"/>
  <c r="E53" i="30"/>
  <c r="E52" i="30"/>
  <c r="E51" i="30"/>
  <c r="E50" i="30"/>
  <c r="E49" i="30"/>
  <c r="E48" i="30"/>
  <c r="E47" i="30"/>
  <c r="E46" i="30"/>
  <c r="E45" i="30"/>
  <c r="E44" i="30"/>
  <c r="E43" i="30"/>
  <c r="E42" i="30"/>
  <c r="E41" i="30"/>
  <c r="E40" i="30"/>
  <c r="E39" i="30"/>
  <c r="E38" i="30"/>
  <c r="E37" i="30"/>
  <c r="E36" i="30"/>
  <c r="E35" i="30"/>
  <c r="E34" i="30"/>
  <c r="E33" i="30"/>
  <c r="E32" i="30"/>
  <c r="E31" i="30"/>
  <c r="E30" i="30"/>
  <c r="E29" i="30"/>
  <c r="E28" i="30"/>
  <c r="E27" i="30"/>
  <c r="E26" i="30"/>
  <c r="E25" i="30"/>
  <c r="E24" i="30"/>
  <c r="E23" i="30"/>
  <c r="E22" i="30"/>
  <c r="E21" i="30"/>
  <c r="E12" i="30"/>
  <c r="H74" i="32"/>
  <c r="H73" i="32"/>
  <c r="H72" i="32"/>
  <c r="H71" i="32"/>
  <c r="H70" i="32"/>
  <c r="H69" i="32"/>
  <c r="H68" i="32"/>
  <c r="H67" i="32"/>
  <c r="H66" i="32"/>
  <c r="H65" i="32"/>
  <c r="H64" i="32"/>
  <c r="H63" i="32"/>
  <c r="H62" i="32"/>
  <c r="H61" i="32"/>
  <c r="H60" i="32"/>
  <c r="H59" i="32"/>
  <c r="H58" i="32"/>
  <c r="H57" i="32"/>
  <c r="H56" i="32"/>
  <c r="H55" i="32"/>
  <c r="H54" i="32"/>
  <c r="H53" i="32"/>
  <c r="H52" i="32"/>
  <c r="H51" i="32"/>
  <c r="H50" i="32"/>
  <c r="H49" i="32"/>
  <c r="H48" i="32"/>
  <c r="H47" i="32"/>
  <c r="H46" i="32"/>
  <c r="H45" i="32"/>
  <c r="H44" i="32"/>
  <c r="H43" i="32"/>
  <c r="H42" i="32"/>
  <c r="H41" i="32"/>
  <c r="H40" i="32"/>
  <c r="H39" i="32"/>
  <c r="H38" i="32"/>
  <c r="H37" i="32"/>
  <c r="H36" i="32"/>
  <c r="H35" i="32"/>
  <c r="H34" i="32"/>
  <c r="H33" i="32"/>
  <c r="H3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A30" i="36"/>
  <c r="F43" i="36" l="1"/>
  <c r="F53" i="36" s="1"/>
  <c r="D7" i="36" s="1"/>
  <c r="H31" i="36"/>
  <c r="H32" i="36"/>
  <c r="H33" i="36"/>
  <c r="H34" i="36"/>
  <c r="H35" i="36"/>
  <c r="H36" i="36"/>
  <c r="H37" i="36"/>
  <c r="H38" i="36"/>
  <c r="H39" i="36"/>
  <c r="H40" i="36"/>
  <c r="H30" i="36"/>
  <c r="E43" i="36"/>
  <c r="D43" i="36"/>
  <c r="G43" i="36"/>
  <c r="G53" i="36" s="1"/>
  <c r="H7" i="36" s="1"/>
  <c r="C43" i="36" l="1"/>
  <c r="A40" i="36"/>
  <c r="A39" i="36"/>
  <c r="A38" i="36"/>
  <c r="A37" i="36"/>
  <c r="A36" i="36"/>
  <c r="A35" i="36"/>
  <c r="A34" i="36"/>
  <c r="A33" i="36"/>
  <c r="A32" i="36"/>
  <c r="A31" i="36"/>
  <c r="H43" i="36" l="1"/>
  <c r="B10" i="36"/>
  <c r="B13" i="36"/>
  <c r="B11" i="36"/>
  <c r="B12" i="36"/>
  <c r="F10" i="36"/>
  <c r="B14" i="36"/>
  <c r="B21" i="36"/>
  <c r="B17" i="36"/>
  <c r="B18" i="36"/>
  <c r="B19" i="36"/>
  <c r="B20" i="36"/>
  <c r="B22" i="36"/>
  <c r="F21" i="36"/>
  <c r="F22" i="36"/>
  <c r="F11" i="36"/>
  <c r="F12" i="36"/>
  <c r="F17" i="36"/>
  <c r="F13" i="36"/>
  <c r="F19" i="36"/>
  <c r="F14" i="36"/>
  <c r="F18" i="36"/>
  <c r="F20" i="36"/>
  <c r="J23" i="36" l="1"/>
  <c r="K13" i="36" s="1"/>
  <c r="K15" i="36" l="1"/>
  <c r="K16" i="36"/>
  <c r="K22" i="36"/>
  <c r="K19" i="36"/>
  <c r="K18" i="36"/>
  <c r="K11" i="36"/>
  <c r="K14" i="36"/>
  <c r="K17" i="36"/>
  <c r="K20" i="36"/>
  <c r="K12" i="36"/>
  <c r="K21" i="36"/>
  <c r="C34" i="39"/>
  <c r="D22" i="29" l="1"/>
  <c r="M5" i="39"/>
  <c r="AJ6" i="4" a="1"/>
  <c r="AJ6" i="4" s="1"/>
  <c r="AI6" i="4" a="1"/>
  <c r="AI6" i="4" s="1"/>
  <c r="AK6" i="4" a="1"/>
  <c r="AK6" i="4" s="1"/>
  <c r="AD4" i="25"/>
  <c r="AD2" i="25" s="1"/>
  <c r="AH4" i="25"/>
  <c r="AH2" i="25" s="1"/>
  <c r="AG4" i="25"/>
  <c r="AG2" i="25" s="1"/>
  <c r="AF4" i="25"/>
  <c r="AF2" i="25" s="1"/>
  <c r="AE4" i="25"/>
  <c r="AE2" i="25" s="1"/>
  <c r="O4" i="25"/>
  <c r="O2" i="25" s="1"/>
  <c r="N4" i="25"/>
  <c r="N2" i="25" s="1"/>
  <c r="M4" i="25"/>
  <c r="M2" i="25" s="1"/>
  <c r="L4" i="25"/>
  <c r="L2" i="25" s="1"/>
  <c r="K4" i="25"/>
  <c r="K2" i="25" s="1"/>
  <c r="J4" i="25"/>
  <c r="J2" i="25" s="1"/>
  <c r="AE4" i="1"/>
  <c r="AB4" i="1"/>
  <c r="AA4" i="1"/>
  <c r="X4" i="1"/>
  <c r="W4" i="1"/>
  <c r="V4" i="1"/>
  <c r="P4" i="1"/>
  <c r="O4" i="1"/>
  <c r="N4" i="1"/>
  <c r="M4" i="1"/>
  <c r="L4" i="1"/>
  <c r="K4" i="1"/>
  <c r="C166" i="1" l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L10" i="39"/>
  <c r="AJ2" i="4" l="1"/>
  <c r="K76" i="34"/>
  <c r="K75" i="34"/>
  <c r="K74" i="34"/>
  <c r="K73" i="34"/>
  <c r="K72" i="34"/>
  <c r="K71" i="34"/>
  <c r="K70" i="34"/>
  <c r="K69" i="34"/>
  <c r="K68" i="34"/>
  <c r="K67" i="34"/>
  <c r="K66" i="34"/>
  <c r="K65" i="34"/>
  <c r="K64" i="34"/>
  <c r="K63" i="34"/>
  <c r="K62" i="34"/>
  <c r="K61" i="34"/>
  <c r="K60" i="34"/>
  <c r="K59" i="34"/>
  <c r="K58" i="34"/>
  <c r="K57" i="34"/>
  <c r="K56" i="34"/>
  <c r="K55" i="34"/>
  <c r="K54" i="34"/>
  <c r="K53" i="34"/>
  <c r="K52" i="34"/>
  <c r="K51" i="34"/>
  <c r="K50" i="34"/>
  <c r="K49" i="34"/>
  <c r="K48" i="34"/>
  <c r="K47" i="34"/>
  <c r="K46" i="34"/>
  <c r="K45" i="34"/>
  <c r="K44" i="34"/>
  <c r="K43" i="34"/>
  <c r="K42" i="34"/>
  <c r="K41" i="34"/>
  <c r="K40" i="34"/>
  <c r="K39" i="34"/>
  <c r="K38" i="34"/>
  <c r="K37" i="34"/>
  <c r="K36" i="34"/>
  <c r="K35" i="34"/>
  <c r="K34" i="34"/>
  <c r="K33" i="34"/>
  <c r="K32" i="34"/>
  <c r="K31" i="34"/>
  <c r="K30" i="34"/>
  <c r="K29" i="34"/>
  <c r="K28" i="34"/>
  <c r="K27" i="34"/>
  <c r="K26" i="34"/>
  <c r="K25" i="34"/>
  <c r="K24" i="34"/>
  <c r="K23" i="34"/>
  <c r="K22" i="34"/>
  <c r="K21" i="34"/>
  <c r="K20" i="34"/>
  <c r="K19" i="34"/>
  <c r="K18" i="34"/>
  <c r="K17" i="34"/>
  <c r="K16" i="34"/>
  <c r="K15" i="34"/>
  <c r="K14" i="34"/>
  <c r="K13" i="34"/>
  <c r="K12" i="34"/>
  <c r="K11" i="34"/>
  <c r="K10" i="34"/>
  <c r="K9" i="34"/>
  <c r="K8" i="34"/>
  <c r="K7" i="34"/>
  <c r="K6" i="34"/>
  <c r="H4" i="32"/>
  <c r="C70" i="30" l="1"/>
  <c r="C69" i="30"/>
  <c r="C68" i="30"/>
  <c r="C67" i="30"/>
  <c r="C66" i="30"/>
  <c r="C65" i="30"/>
  <c r="C64" i="30"/>
  <c r="C63" i="30"/>
  <c r="C62" i="30"/>
  <c r="C61" i="30"/>
  <c r="C60" i="30"/>
  <c r="C59" i="30"/>
  <c r="C58" i="30"/>
  <c r="C57" i="30"/>
  <c r="C56" i="30"/>
  <c r="C55" i="30"/>
  <c r="C54" i="30"/>
  <c r="C53" i="30"/>
  <c r="C52" i="30"/>
  <c r="C51" i="30"/>
  <c r="C50" i="30"/>
  <c r="C49" i="30"/>
  <c r="C48" i="30"/>
  <c r="C47" i="30"/>
  <c r="C46" i="30"/>
  <c r="C45" i="30"/>
  <c r="C44" i="30"/>
  <c r="C43" i="30"/>
  <c r="C42" i="30"/>
  <c r="C41" i="30"/>
  <c r="C40" i="30"/>
  <c r="C39" i="30"/>
  <c r="C38" i="30"/>
  <c r="C37" i="30"/>
  <c r="C36" i="30"/>
  <c r="C35" i="30"/>
  <c r="C34" i="30"/>
  <c r="C33" i="30"/>
  <c r="C32" i="30"/>
  <c r="C31" i="30"/>
  <c r="C30" i="30"/>
  <c r="C29" i="30"/>
  <c r="C28" i="30"/>
  <c r="C27" i="30"/>
  <c r="C26" i="30"/>
  <c r="C25" i="30"/>
  <c r="C24" i="30"/>
  <c r="C23" i="30"/>
  <c r="C22" i="30"/>
  <c r="C21" i="30"/>
  <c r="AC59" i="28"/>
  <c r="AC55" i="28"/>
  <c r="AC49" i="28"/>
  <c r="AC42" i="28"/>
  <c r="AC43" i="28"/>
  <c r="AC38" i="28"/>
  <c r="AC37" i="28"/>
  <c r="AC25" i="28"/>
  <c r="AC22" i="28"/>
  <c r="AC20" i="28"/>
  <c r="AC19" i="28"/>
  <c r="AC18" i="28"/>
  <c r="AC17" i="28"/>
  <c r="AC16" i="28"/>
  <c r="AC14" i="28"/>
  <c r="AC13" i="28"/>
  <c r="AC12" i="28"/>
  <c r="AC11" i="28"/>
  <c r="AC46" i="28"/>
  <c r="F70" i="30"/>
  <c r="F69" i="30"/>
  <c r="F68" i="30"/>
  <c r="F67" i="30"/>
  <c r="F66" i="30"/>
  <c r="F65" i="30"/>
  <c r="F64" i="30"/>
  <c r="F63" i="30"/>
  <c r="F62" i="30"/>
  <c r="F61" i="30"/>
  <c r="F60" i="30"/>
  <c r="F59" i="30"/>
  <c r="P48" i="28" s="1"/>
  <c r="F58" i="30"/>
  <c r="F57" i="30"/>
  <c r="F56" i="30"/>
  <c r="F55" i="30"/>
  <c r="F54" i="30"/>
  <c r="F53" i="30"/>
  <c r="F52" i="30"/>
  <c r="F51" i="30"/>
  <c r="F50" i="30"/>
  <c r="F49" i="30"/>
  <c r="F48" i="30"/>
  <c r="F47" i="30"/>
  <c r="F46" i="30"/>
  <c r="F45" i="30"/>
  <c r="F44" i="30"/>
  <c r="F43" i="30"/>
  <c r="F42" i="30"/>
  <c r="F41" i="30"/>
  <c r="F40" i="30"/>
  <c r="F38" i="30"/>
  <c r="F37" i="30"/>
  <c r="F36" i="30"/>
  <c r="F35" i="30"/>
  <c r="F34" i="30"/>
  <c r="F33" i="30"/>
  <c r="F32" i="30"/>
  <c r="F31" i="30"/>
  <c r="P20" i="28" s="1"/>
  <c r="F30" i="30"/>
  <c r="F29" i="30"/>
  <c r="F28" i="30"/>
  <c r="F27" i="30"/>
  <c r="F26" i="30"/>
  <c r="P15" i="28" s="1"/>
  <c r="F25" i="30"/>
  <c r="F24" i="30"/>
  <c r="F23" i="30"/>
  <c r="F22" i="30"/>
  <c r="F21" i="30"/>
  <c r="C36" i="39"/>
  <c r="H5" i="28" s="1"/>
  <c r="C35" i="39"/>
  <c r="F43" i="37"/>
  <c r="E43" i="37"/>
  <c r="F42" i="37"/>
  <c r="E42" i="37"/>
  <c r="F39" i="37"/>
  <c r="F38" i="37"/>
  <c r="E38" i="37"/>
  <c r="F37" i="37"/>
  <c r="E37" i="37"/>
  <c r="F36" i="37"/>
  <c r="E36" i="37"/>
  <c r="F35" i="37"/>
  <c r="E35" i="37"/>
  <c r="F34" i="37"/>
  <c r="E34" i="37"/>
  <c r="F33" i="37"/>
  <c r="E33" i="37"/>
  <c r="F32" i="37"/>
  <c r="H32" i="37" s="1"/>
  <c r="E32" i="37"/>
  <c r="G32" i="37" s="1"/>
  <c r="F31" i="37"/>
  <c r="E31" i="37"/>
  <c r="N24" i="35"/>
  <c r="J24" i="35"/>
  <c r="H6" i="35"/>
  <c r="G6" i="35"/>
  <c r="F6" i="35"/>
  <c r="E6" i="35"/>
  <c r="D6" i="35"/>
  <c r="C6" i="35"/>
  <c r="AC27" i="28"/>
  <c r="AC15" i="28"/>
  <c r="AC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8" i="28"/>
  <c r="L29" i="28"/>
  <c r="L30" i="28"/>
  <c r="L31" i="28"/>
  <c r="L32" i="28"/>
  <c r="L33" i="28"/>
  <c r="L34" i="28"/>
  <c r="L35" i="28"/>
  <c r="L36" i="28"/>
  <c r="L37" i="28"/>
  <c r="L38" i="28"/>
  <c r="L39" i="28"/>
  <c r="L40" i="28"/>
  <c r="L41" i="28"/>
  <c r="L42" i="28"/>
  <c r="L43" i="28"/>
  <c r="L44" i="28"/>
  <c r="L45" i="28"/>
  <c r="L46" i="28"/>
  <c r="L47" i="28"/>
  <c r="L48" i="28"/>
  <c r="L49" i="28"/>
  <c r="L50" i="28"/>
  <c r="L51" i="28"/>
  <c r="L52" i="28"/>
  <c r="L53" i="28"/>
  <c r="L54" i="28"/>
  <c r="L55" i="28"/>
  <c r="L56" i="28"/>
  <c r="L57" i="28"/>
  <c r="L58" i="28"/>
  <c r="L59" i="28"/>
  <c r="L10" i="28"/>
  <c r="G74" i="32"/>
  <c r="G73" i="32"/>
  <c r="G72" i="32"/>
  <c r="G71" i="32"/>
  <c r="G70" i="32"/>
  <c r="G69" i="32"/>
  <c r="G68" i="32"/>
  <c r="G67" i="32"/>
  <c r="G66" i="32"/>
  <c r="G65" i="32"/>
  <c r="G64" i="32"/>
  <c r="G63" i="32"/>
  <c r="G62" i="32"/>
  <c r="G61" i="32"/>
  <c r="G60" i="32"/>
  <c r="G59" i="32"/>
  <c r="G58" i="32"/>
  <c r="G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8" i="32"/>
  <c r="G7" i="32"/>
  <c r="G6" i="32"/>
  <c r="G5" i="32"/>
  <c r="G4" i="32"/>
  <c r="J7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J34" i="34"/>
  <c r="J35" i="34"/>
  <c r="J36" i="34"/>
  <c r="J37" i="34"/>
  <c r="J38" i="34"/>
  <c r="J39" i="34"/>
  <c r="J40" i="34"/>
  <c r="J41" i="34"/>
  <c r="J42" i="34"/>
  <c r="J43" i="34"/>
  <c r="J44" i="34"/>
  <c r="J45" i="34"/>
  <c r="J46" i="34"/>
  <c r="J47" i="34"/>
  <c r="J48" i="34"/>
  <c r="J49" i="34"/>
  <c r="J50" i="34"/>
  <c r="J51" i="34"/>
  <c r="J52" i="34"/>
  <c r="J53" i="34"/>
  <c r="J54" i="34"/>
  <c r="J55" i="34"/>
  <c r="J56" i="34"/>
  <c r="J57" i="34"/>
  <c r="J58" i="34"/>
  <c r="J59" i="34"/>
  <c r="J60" i="34"/>
  <c r="J61" i="34"/>
  <c r="J62" i="34"/>
  <c r="J63" i="34"/>
  <c r="J64" i="34"/>
  <c r="J65" i="34"/>
  <c r="J66" i="34"/>
  <c r="J67" i="34"/>
  <c r="J68" i="34"/>
  <c r="J69" i="34"/>
  <c r="J70" i="34"/>
  <c r="J71" i="34"/>
  <c r="J72" i="34"/>
  <c r="J73" i="34"/>
  <c r="J74" i="34"/>
  <c r="J75" i="34"/>
  <c r="J76" i="34"/>
  <c r="J6" i="34"/>
  <c r="P14" i="28" l="1"/>
  <c r="Q35" i="30"/>
  <c r="Q23" i="30"/>
  <c r="Q47" i="30"/>
  <c r="Q59" i="30"/>
  <c r="P59" i="28"/>
  <c r="Q24" i="30"/>
  <c r="Q36" i="30"/>
  <c r="Q48" i="30"/>
  <c r="Q60" i="30"/>
  <c r="Q62" i="30"/>
  <c r="Q27" i="30"/>
  <c r="Q39" i="30"/>
  <c r="Q51" i="30"/>
  <c r="Q63" i="30"/>
  <c r="Q28" i="30"/>
  <c r="Q40" i="30"/>
  <c r="Q52" i="30"/>
  <c r="Q64" i="30"/>
  <c r="Q49" i="30"/>
  <c r="Q29" i="30"/>
  <c r="Q41" i="30"/>
  <c r="Q53" i="30"/>
  <c r="Q65" i="30"/>
  <c r="Q37" i="30"/>
  <c r="Q26" i="30"/>
  <c r="Q30" i="30"/>
  <c r="Q42" i="30"/>
  <c r="Q54" i="30"/>
  <c r="Q66" i="30"/>
  <c r="Q38" i="30"/>
  <c r="Q31" i="30"/>
  <c r="Q43" i="30"/>
  <c r="Q55" i="30"/>
  <c r="Q67" i="30"/>
  <c r="Q61" i="30"/>
  <c r="P18" i="28"/>
  <c r="Q32" i="30"/>
  <c r="Q44" i="30"/>
  <c r="Q56" i="30"/>
  <c r="Q68" i="30"/>
  <c r="Q25" i="30"/>
  <c r="Q50" i="30"/>
  <c r="P19" i="28"/>
  <c r="Q33" i="30"/>
  <c r="Q45" i="30"/>
  <c r="Q57" i="30"/>
  <c r="Q69" i="30"/>
  <c r="Q22" i="30"/>
  <c r="Q34" i="30"/>
  <c r="Q46" i="30"/>
  <c r="Q58" i="30"/>
  <c r="Q70" i="30"/>
  <c r="O47" i="30"/>
  <c r="O59" i="30"/>
  <c r="O23" i="30"/>
  <c r="O35" i="30"/>
  <c r="O24" i="30"/>
  <c r="O36" i="30"/>
  <c r="O48" i="30"/>
  <c r="O60" i="30"/>
  <c r="O45" i="30"/>
  <c r="O37" i="30"/>
  <c r="O49" i="30"/>
  <c r="O26" i="30"/>
  <c r="O62" i="30"/>
  <c r="O27" i="30"/>
  <c r="O51" i="30"/>
  <c r="O63" i="30"/>
  <c r="O28" i="30"/>
  <c r="O40" i="30"/>
  <c r="O52" i="30"/>
  <c r="O64" i="30"/>
  <c r="O38" i="30"/>
  <c r="O29" i="30"/>
  <c r="O41" i="30"/>
  <c r="O53" i="30"/>
  <c r="O65" i="30"/>
  <c r="O57" i="30"/>
  <c r="O25" i="30"/>
  <c r="O61" i="30"/>
  <c r="O50" i="30"/>
  <c r="O39" i="30"/>
  <c r="P16" i="28"/>
  <c r="O30" i="30"/>
  <c r="O42" i="30"/>
  <c r="O54" i="30"/>
  <c r="O66" i="30"/>
  <c r="Q21" i="30"/>
  <c r="O21" i="30"/>
  <c r="P17" i="28"/>
  <c r="O31" i="30"/>
  <c r="O43" i="30"/>
  <c r="O55" i="30"/>
  <c r="O67" i="30"/>
  <c r="O33" i="30"/>
  <c r="O32" i="30"/>
  <c r="O44" i="30"/>
  <c r="O56" i="30"/>
  <c r="O68" i="30"/>
  <c r="O69" i="30"/>
  <c r="O22" i="30"/>
  <c r="O34" i="30"/>
  <c r="O46" i="30"/>
  <c r="O58" i="30"/>
  <c r="O70" i="30"/>
  <c r="P11" i="28"/>
  <c r="P12" i="28"/>
  <c r="P32" i="28"/>
  <c r="P10" i="28"/>
  <c r="R10" i="28" s="1"/>
  <c r="P13" i="28"/>
  <c r="P28" i="28"/>
  <c r="AC34" i="28"/>
  <c r="AC30" i="28"/>
  <c r="P24" i="28"/>
  <c r="P53" i="28"/>
  <c r="P36" i="28"/>
  <c r="AC53" i="28"/>
  <c r="AC54" i="28"/>
  <c r="AC28" i="28"/>
  <c r="AC40" i="28"/>
  <c r="AC51" i="28"/>
  <c r="AC39" i="28"/>
  <c r="AC47" i="28"/>
  <c r="AC50" i="28"/>
  <c r="AC52" i="28"/>
  <c r="P27" i="28"/>
  <c r="P39" i="28"/>
  <c r="P44" i="28"/>
  <c r="P57" i="28"/>
  <c r="P45" i="28"/>
  <c r="P22" i="28"/>
  <c r="P34" i="28"/>
  <c r="P43" i="28"/>
  <c r="P54" i="28"/>
  <c r="P30" i="28"/>
  <c r="P56" i="28"/>
  <c r="P49" i="28"/>
  <c r="P40" i="28"/>
  <c r="AC23" i="28"/>
  <c r="AC35" i="28"/>
  <c r="P29" i="28"/>
  <c r="P41" i="28"/>
  <c r="P55" i="28"/>
  <c r="P31" i="28"/>
  <c r="AC26" i="28"/>
  <c r="P25" i="28"/>
  <c r="P37" i="28"/>
  <c r="P50" i="28"/>
  <c r="AC44" i="28"/>
  <c r="AC57" i="28"/>
  <c r="P26" i="28"/>
  <c r="P38" i="28"/>
  <c r="P52" i="28"/>
  <c r="AC32" i="28"/>
  <c r="AC45" i="28"/>
  <c r="AC58" i="28"/>
  <c r="P58" i="28"/>
  <c r="P42" i="28"/>
  <c r="P21" i="28"/>
  <c r="P33" i="28"/>
  <c r="P46" i="28"/>
  <c r="P47" i="28"/>
  <c r="P51" i="28"/>
  <c r="P23" i="28"/>
  <c r="P35" i="28"/>
  <c r="AC29" i="28"/>
  <c r="AC41" i="28"/>
  <c r="AC56" i="28"/>
  <c r="M22" i="28"/>
  <c r="M33" i="28"/>
  <c r="M21" i="28"/>
  <c r="M56" i="28"/>
  <c r="M44" i="28"/>
  <c r="M32" i="28"/>
  <c r="M20" i="28"/>
  <c r="M55" i="28"/>
  <c r="M43" i="28"/>
  <c r="M31" i="28"/>
  <c r="M19" i="28"/>
  <c r="M57" i="28"/>
  <c r="M54" i="28"/>
  <c r="M42" i="28"/>
  <c r="M30" i="28"/>
  <c r="M18" i="28"/>
  <c r="M53" i="28"/>
  <c r="M41" i="28"/>
  <c r="M29" i="28"/>
  <c r="M17" i="28"/>
  <c r="M45" i="28"/>
  <c r="M46" i="28"/>
  <c r="M51" i="28"/>
  <c r="M39" i="28"/>
  <c r="M27" i="28"/>
  <c r="M40" i="28"/>
  <c r="M58" i="28"/>
  <c r="M34" i="28"/>
  <c r="M49" i="28"/>
  <c r="M37" i="28"/>
  <c r="M25" i="28"/>
  <c r="M13" i="28"/>
  <c r="M10" i="28"/>
  <c r="M48" i="28"/>
  <c r="M36" i="28"/>
  <c r="M24" i="28"/>
  <c r="M12" i="28"/>
  <c r="M59" i="28"/>
  <c r="M47" i="28"/>
  <c r="M35" i="28"/>
  <c r="M23" i="28"/>
  <c r="M11" i="28"/>
  <c r="M14" i="28"/>
  <c r="M26" i="28"/>
  <c r="M38" i="28"/>
  <c r="M50" i="28"/>
  <c r="M15" i="28"/>
  <c r="M16" i="28"/>
  <c r="M28" i="28"/>
  <c r="M52" i="28"/>
  <c r="AC31" i="28"/>
  <c r="AC21" i="28"/>
  <c r="AC33" i="28"/>
  <c r="AC48" i="28"/>
  <c r="AC24" i="28"/>
  <c r="AC36" i="28"/>
  <c r="B23" i="36"/>
  <c r="E39" i="37"/>
  <c r="K10" i="36"/>
  <c r="F23" i="36"/>
  <c r="E41" i="37"/>
  <c r="F41" i="37"/>
  <c r="Y54" i="28" l="1"/>
  <c r="Y49" i="28"/>
  <c r="Y48" i="28"/>
  <c r="Y52" i="28"/>
  <c r="Y51" i="28"/>
  <c r="Y53" i="28"/>
  <c r="Y50" i="28"/>
  <c r="Y41" i="28"/>
  <c r="C15" i="36"/>
  <c r="C12" i="36"/>
  <c r="C13" i="36"/>
  <c r="C16" i="36"/>
  <c r="C20" i="36"/>
  <c r="C22" i="36"/>
  <c r="C14" i="36"/>
  <c r="C17" i="36"/>
  <c r="C19" i="36"/>
  <c r="C21" i="36"/>
  <c r="C18" i="36"/>
  <c r="C11" i="36"/>
  <c r="G15" i="36"/>
  <c r="G16" i="36"/>
  <c r="G20" i="36"/>
  <c r="G18" i="36"/>
  <c r="G19" i="36"/>
  <c r="G17" i="36"/>
  <c r="G14" i="36"/>
  <c r="G12" i="36"/>
  <c r="G22" i="36"/>
  <c r="G13" i="36"/>
  <c r="G11" i="36"/>
  <c r="G21" i="36"/>
  <c r="L22" i="36"/>
  <c r="U22" i="36" s="1"/>
  <c r="L11" i="36"/>
  <c r="U11" i="36" s="1"/>
  <c r="L12" i="36"/>
  <c r="U12" i="36" s="1"/>
  <c r="L13" i="36"/>
  <c r="U13" i="36" s="1"/>
  <c r="L14" i="36"/>
  <c r="U14" i="36" s="1"/>
  <c r="L15" i="36"/>
  <c r="U15" i="36" s="1"/>
  <c r="L16" i="36"/>
  <c r="U16" i="36" s="1"/>
  <c r="L17" i="36"/>
  <c r="U17" i="36" s="1"/>
  <c r="L18" i="36"/>
  <c r="U18" i="36" s="1"/>
  <c r="L19" i="36"/>
  <c r="U19" i="36" s="1"/>
  <c r="L20" i="36"/>
  <c r="U20" i="36" s="1"/>
  <c r="L21" i="36"/>
  <c r="U21" i="36" s="1"/>
  <c r="C10" i="36"/>
  <c r="G10" i="36"/>
  <c r="L10" i="36"/>
  <c r="K23" i="36"/>
  <c r="D11" i="36" l="1"/>
  <c r="N11" i="36" s="1"/>
  <c r="D17" i="36"/>
  <c r="N17" i="36" s="1"/>
  <c r="D14" i="36"/>
  <c r="N14" i="36" s="1"/>
  <c r="D12" i="36"/>
  <c r="N12" i="36" s="1"/>
  <c r="D13" i="36"/>
  <c r="N13" i="36" s="1"/>
  <c r="D20" i="36"/>
  <c r="N20" i="36" s="1"/>
  <c r="D21" i="36"/>
  <c r="N21" i="36" s="1"/>
  <c r="D15" i="36"/>
  <c r="N15" i="36" s="1"/>
  <c r="D22" i="36"/>
  <c r="N22" i="36" s="1"/>
  <c r="D16" i="36"/>
  <c r="N16" i="36" s="1"/>
  <c r="D18" i="36"/>
  <c r="N18" i="36" s="1"/>
  <c r="D19" i="36"/>
  <c r="N19" i="36" s="1"/>
  <c r="C23" i="36"/>
  <c r="H11" i="36"/>
  <c r="H12" i="36"/>
  <c r="H13" i="36"/>
  <c r="H15" i="36"/>
  <c r="H20" i="36"/>
  <c r="H16" i="36"/>
  <c r="H17" i="36"/>
  <c r="H21" i="36"/>
  <c r="H18" i="36"/>
  <c r="H19" i="36"/>
  <c r="H22" i="36"/>
  <c r="H14" i="36"/>
  <c r="H10" i="36"/>
  <c r="O10" i="36" s="1"/>
  <c r="D10" i="36"/>
  <c r="N10" i="36" s="1"/>
  <c r="U10" i="36"/>
  <c r="L23" i="36"/>
  <c r="U23" i="36" s="1"/>
  <c r="G23" i="36"/>
  <c r="O22" i="36" l="1"/>
  <c r="T22" i="36"/>
  <c r="T15" i="36"/>
  <c r="O15" i="36"/>
  <c r="T18" i="36"/>
  <c r="O18" i="36"/>
  <c r="P18" i="36" s="1"/>
  <c r="Q18" i="36" s="1"/>
  <c r="C39" i="37" s="1"/>
  <c r="G39" i="37" s="1"/>
  <c r="O21" i="36"/>
  <c r="T21" i="36"/>
  <c r="T16" i="36"/>
  <c r="O16" i="36"/>
  <c r="P16" i="36" s="1"/>
  <c r="Q16" i="36" s="1"/>
  <c r="T12" i="36"/>
  <c r="O12" i="36"/>
  <c r="P12" i="36" s="1"/>
  <c r="Q12" i="36" s="1"/>
  <c r="C33" i="37" s="1"/>
  <c r="G33" i="37" s="1"/>
  <c r="T13" i="36"/>
  <c r="V13" i="36" s="1"/>
  <c r="O13" i="36"/>
  <c r="T11" i="36"/>
  <c r="O11" i="36"/>
  <c r="O19" i="36"/>
  <c r="T19" i="36"/>
  <c r="V19" i="36" s="1"/>
  <c r="T17" i="36"/>
  <c r="O17" i="36"/>
  <c r="T20" i="36"/>
  <c r="O20" i="36"/>
  <c r="P20" i="36" s="1"/>
  <c r="Q20" i="36" s="1"/>
  <c r="C41" i="37" s="1"/>
  <c r="G41" i="37" s="1"/>
  <c r="T10" i="36"/>
  <c r="V10" i="36" s="1"/>
  <c r="X10" i="36" s="1"/>
  <c r="O14" i="36"/>
  <c r="T14" i="36"/>
  <c r="H23" i="36"/>
  <c r="D23" i="36"/>
  <c r="N23" i="36" s="1"/>
  <c r="P10" i="36"/>
  <c r="Q10" i="36" s="1"/>
  <c r="C31" i="37" s="1"/>
  <c r="G31" i="37" s="1"/>
  <c r="M44" i="37" l="1"/>
  <c r="T31" i="37" s="1"/>
  <c r="V15" i="36"/>
  <c r="X15" i="36" s="1"/>
  <c r="W19" i="36"/>
  <c r="X19" i="36"/>
  <c r="V16" i="36"/>
  <c r="X16" i="36" s="1"/>
  <c r="V22" i="36"/>
  <c r="X22" i="36" s="1"/>
  <c r="P14" i="36"/>
  <c r="Q14" i="36" s="1"/>
  <c r="C35" i="37" s="1"/>
  <c r="G35" i="37" s="1"/>
  <c r="V11" i="36"/>
  <c r="X11" i="36" s="1"/>
  <c r="V18" i="36"/>
  <c r="X18" i="36" s="1"/>
  <c r="V20" i="36"/>
  <c r="X20" i="36" s="1"/>
  <c r="V12" i="36"/>
  <c r="X12" i="36" s="1"/>
  <c r="O23" i="36"/>
  <c r="P23" i="36" s="1"/>
  <c r="Q23" i="36" s="1"/>
  <c r="T23" i="36"/>
  <c r="V21" i="36"/>
  <c r="X21" i="36" s="1"/>
  <c r="P11" i="36"/>
  <c r="Q11" i="36" s="1"/>
  <c r="C32" i="37" s="1"/>
  <c r="W13" i="36"/>
  <c r="X13" i="36"/>
  <c r="P17" i="36"/>
  <c r="Q17" i="36" s="1"/>
  <c r="C38" i="37" s="1"/>
  <c r="G38" i="37" s="1"/>
  <c r="V17" i="36"/>
  <c r="X17" i="36" s="1"/>
  <c r="P15" i="36"/>
  <c r="Q15" i="36" s="1"/>
  <c r="P21" i="36"/>
  <c r="Q21" i="36" s="1"/>
  <c r="C42" i="37" s="1"/>
  <c r="R16" i="36"/>
  <c r="V14" i="36"/>
  <c r="X14" i="36" s="1"/>
  <c r="R18" i="36"/>
  <c r="D39" i="37" s="1"/>
  <c r="H39" i="37" s="1"/>
  <c r="C22" i="38" s="1"/>
  <c r="R20" i="36"/>
  <c r="D41" i="37" s="1"/>
  <c r="H41" i="37" s="1"/>
  <c r="C24" i="38" s="1"/>
  <c r="P19" i="36"/>
  <c r="Q19" i="36" s="1"/>
  <c r="C40" i="37" s="1"/>
  <c r="P22" i="36"/>
  <c r="Q22" i="36" s="1"/>
  <c r="C43" i="37" s="1"/>
  <c r="G43" i="37" s="1"/>
  <c r="R12" i="36"/>
  <c r="D33" i="37" s="1"/>
  <c r="H33" i="37" s="1"/>
  <c r="C16" i="38" s="1"/>
  <c r="P13" i="36"/>
  <c r="Q13" i="36" s="1"/>
  <c r="C34" i="37" s="1"/>
  <c r="G34" i="37" s="1"/>
  <c r="W10" i="36"/>
  <c r="R10" i="36"/>
  <c r="D31" i="37" s="1"/>
  <c r="H31" i="37" s="1"/>
  <c r="T35" i="37" l="1"/>
  <c r="U35" i="37" s="1"/>
  <c r="V35" i="37" s="1"/>
  <c r="T38" i="37"/>
  <c r="U38" i="37" s="1"/>
  <c r="V38" i="37" s="1"/>
  <c r="T43" i="37"/>
  <c r="U43" i="37" s="1"/>
  <c r="V43" i="37" s="1"/>
  <c r="T32" i="37"/>
  <c r="U32" i="37" s="1"/>
  <c r="V32" i="37" s="1"/>
  <c r="W21" i="36"/>
  <c r="N44" i="37"/>
  <c r="C27" i="38" s="1"/>
  <c r="C14" i="38"/>
  <c r="R15" i="36"/>
  <c r="T39" i="37"/>
  <c r="U39" i="37" s="1"/>
  <c r="V39" i="37" s="1"/>
  <c r="I16" i="38"/>
  <c r="H16" i="38"/>
  <c r="I22" i="38"/>
  <c r="H22" i="38"/>
  <c r="E40" i="37"/>
  <c r="G40" i="37" s="1"/>
  <c r="T40" i="37" s="1"/>
  <c r="U40" i="37" s="1"/>
  <c r="V40" i="37" s="1"/>
  <c r="H24" i="38"/>
  <c r="I24" i="38"/>
  <c r="C37" i="37"/>
  <c r="G37" i="37" s="1"/>
  <c r="T37" i="37" s="1"/>
  <c r="U37" i="37" s="1"/>
  <c r="V37" i="37" s="1"/>
  <c r="C36" i="37"/>
  <c r="G36" i="37" s="1"/>
  <c r="T36" i="37" s="1"/>
  <c r="U36" i="37" s="1"/>
  <c r="V36" i="37" s="1"/>
  <c r="G42" i="37"/>
  <c r="T44" i="37"/>
  <c r="U31" i="37"/>
  <c r="T34" i="37"/>
  <c r="U34" i="37" s="1"/>
  <c r="V34" i="37" s="1"/>
  <c r="T33" i="37"/>
  <c r="U33" i="37" s="1"/>
  <c r="V33" i="37" s="1"/>
  <c r="T41" i="37"/>
  <c r="U41" i="37" s="1"/>
  <c r="V41" i="37" s="1"/>
  <c r="R21" i="36"/>
  <c r="D42" i="37" s="1"/>
  <c r="W16" i="36"/>
  <c r="W20" i="36"/>
  <c r="W15" i="36"/>
  <c r="R22" i="36"/>
  <c r="D43" i="37" s="1"/>
  <c r="H43" i="37" s="1"/>
  <c r="C26" i="38" s="1"/>
  <c r="W14" i="36"/>
  <c r="W18" i="36"/>
  <c r="W22" i="36"/>
  <c r="W17" i="36"/>
  <c r="R17" i="36"/>
  <c r="D38" i="37" s="1"/>
  <c r="H38" i="37" s="1"/>
  <c r="C21" i="38" s="1"/>
  <c r="R11" i="36"/>
  <c r="D32" i="37" s="1"/>
  <c r="W11" i="36"/>
  <c r="R19" i="36"/>
  <c r="D40" i="37" s="1"/>
  <c r="R13" i="36"/>
  <c r="D34" i="37" s="1"/>
  <c r="H34" i="37" s="1"/>
  <c r="W12" i="36"/>
  <c r="V23" i="36"/>
  <c r="X23" i="36" s="1"/>
  <c r="R14" i="36"/>
  <c r="D35" i="37" s="1"/>
  <c r="H35" i="37" s="1"/>
  <c r="R23" i="36"/>
  <c r="M46" i="37" l="1"/>
  <c r="I14" i="38"/>
  <c r="I27" i="38" s="1"/>
  <c r="H14" i="38"/>
  <c r="I26" i="38"/>
  <c r="H26" i="38"/>
  <c r="C17" i="38"/>
  <c r="F40" i="37"/>
  <c r="H40" i="37" s="1"/>
  <c r="C23" i="38" s="1"/>
  <c r="D37" i="37"/>
  <c r="H37" i="37" s="1"/>
  <c r="C20" i="38" s="1"/>
  <c r="D36" i="37"/>
  <c r="H36" i="37" s="1"/>
  <c r="C19" i="38" s="1"/>
  <c r="H42" i="37"/>
  <c r="C18" i="38"/>
  <c r="C15" i="38"/>
  <c r="I21" i="38"/>
  <c r="H21" i="38"/>
  <c r="U44" i="37"/>
  <c r="V31" i="37"/>
  <c r="V44" i="37" s="1"/>
  <c r="W23" i="36"/>
  <c r="H27" i="38" l="1"/>
  <c r="I23" i="38"/>
  <c r="H23" i="38"/>
  <c r="I19" i="38"/>
  <c r="H19" i="38"/>
  <c r="I20" i="38"/>
  <c r="H20" i="38"/>
  <c r="I17" i="38"/>
  <c r="H17" i="38"/>
  <c r="I18" i="38"/>
  <c r="H18" i="38"/>
  <c r="C25" i="38"/>
  <c r="I15" i="38"/>
  <c r="H15" i="38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21" i="30"/>
  <c r="L21" i="30" s="1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Y59" i="28"/>
  <c r="Y57" i="28"/>
  <c r="Y56" i="28"/>
  <c r="Y55" i="28"/>
  <c r="Y46" i="28"/>
  <c r="Y45" i="28"/>
  <c r="Y44" i="28"/>
  <c r="Y40" i="28"/>
  <c r="Y21" i="28"/>
  <c r="Y20" i="28"/>
  <c r="Y19" i="28"/>
  <c r="Y18" i="28"/>
  <c r="Y17" i="28"/>
  <c r="Y15" i="28"/>
  <c r="Y14" i="28"/>
  <c r="Y13" i="28"/>
  <c r="Y12" i="28"/>
  <c r="Y11" i="28"/>
  <c r="Y10" i="28"/>
  <c r="F7" i="30"/>
  <c r="E7" i="30"/>
  <c r="D12" i="30"/>
  <c r="E11" i="30"/>
  <c r="E8" i="30"/>
  <c r="R40" i="28"/>
  <c r="S40" i="28" s="1"/>
  <c r="AE40" i="28"/>
  <c r="R41" i="28"/>
  <c r="S41" i="28" s="1"/>
  <c r="AE41" i="28"/>
  <c r="R42" i="28"/>
  <c r="S42" i="28" s="1"/>
  <c r="AE42" i="28"/>
  <c r="R43" i="28"/>
  <c r="S43" i="28" s="1"/>
  <c r="AE43" i="28"/>
  <c r="R44" i="28"/>
  <c r="S44" i="28" s="1"/>
  <c r="AE44" i="28"/>
  <c r="R45" i="28"/>
  <c r="S45" i="28" s="1"/>
  <c r="AE45" i="28"/>
  <c r="R46" i="28"/>
  <c r="S46" i="28" s="1"/>
  <c r="AE46" i="28"/>
  <c r="R47" i="28"/>
  <c r="S47" i="28" s="1"/>
  <c r="AE47" i="28"/>
  <c r="R48" i="28"/>
  <c r="S48" i="28" s="1"/>
  <c r="AE48" i="28"/>
  <c r="R49" i="28"/>
  <c r="S49" i="28" s="1"/>
  <c r="AE49" i="28"/>
  <c r="R50" i="28"/>
  <c r="S50" i="28" s="1"/>
  <c r="AE50" i="28"/>
  <c r="R51" i="28"/>
  <c r="S51" i="28" s="1"/>
  <c r="AE51" i="28"/>
  <c r="R52" i="28"/>
  <c r="S52" i="28" s="1"/>
  <c r="AE52" i="28"/>
  <c r="R53" i="28"/>
  <c r="S53" i="28" s="1"/>
  <c r="AE53" i="28"/>
  <c r="R54" i="28"/>
  <c r="S54" i="28" s="1"/>
  <c r="AE54" i="28"/>
  <c r="R55" i="28"/>
  <c r="S55" i="28" s="1"/>
  <c r="AE55" i="28"/>
  <c r="R56" i="28"/>
  <c r="S56" i="28" s="1"/>
  <c r="AE56" i="28"/>
  <c r="R57" i="28"/>
  <c r="S57" i="28" s="1"/>
  <c r="AE57" i="28"/>
  <c r="R58" i="28"/>
  <c r="S58" i="28" s="1"/>
  <c r="AE58" i="28"/>
  <c r="R59" i="28"/>
  <c r="S59" i="28" s="1"/>
  <c r="AE59" i="28"/>
  <c r="D11" i="28"/>
  <c r="D12" i="28"/>
  <c r="D13" i="28"/>
  <c r="D14" i="28"/>
  <c r="AD14" i="28" s="1"/>
  <c r="D15" i="28"/>
  <c r="D16" i="28"/>
  <c r="D17" i="28"/>
  <c r="D18" i="28"/>
  <c r="D19" i="28"/>
  <c r="D20" i="28"/>
  <c r="D21" i="28"/>
  <c r="D22" i="28"/>
  <c r="D23" i="28"/>
  <c r="D24" i="28"/>
  <c r="D25" i="28"/>
  <c r="D26" i="28"/>
  <c r="AD26" i="28" s="1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AD50" i="28" s="1"/>
  <c r="D51" i="28"/>
  <c r="D52" i="28"/>
  <c r="D53" i="28"/>
  <c r="D54" i="28"/>
  <c r="D55" i="28"/>
  <c r="D56" i="28"/>
  <c r="D57" i="28"/>
  <c r="D58" i="28"/>
  <c r="D59" i="28"/>
  <c r="D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10" i="28"/>
  <c r="C62" i="29"/>
  <c r="D61" i="29"/>
  <c r="D60" i="29"/>
  <c r="D59" i="29"/>
  <c r="D41" i="29"/>
  <c r="D38" i="29"/>
  <c r="C30" i="29"/>
  <c r="D29" i="29"/>
  <c r="D28" i="29"/>
  <c r="C27" i="29"/>
  <c r="D26" i="29"/>
  <c r="D25" i="29"/>
  <c r="C24" i="29"/>
  <c r="D23" i="29"/>
  <c r="C21" i="29"/>
  <c r="D20" i="29"/>
  <c r="D19" i="29"/>
  <c r="D18" i="29"/>
  <c r="D17" i="29"/>
  <c r="C16" i="29"/>
  <c r="D15" i="29"/>
  <c r="D14" i="29"/>
  <c r="D13" i="29"/>
  <c r="D12" i="29"/>
  <c r="C11" i="29"/>
  <c r="D10" i="29"/>
  <c r="D9" i="29"/>
  <c r="D8" i="29"/>
  <c r="D7" i="29"/>
  <c r="D6" i="29"/>
  <c r="D5" i="29"/>
  <c r="AE39" i="28"/>
  <c r="R39" i="28"/>
  <c r="S39" i="28" s="1"/>
  <c r="AE38" i="28"/>
  <c r="R38" i="28"/>
  <c r="S38" i="28" s="1"/>
  <c r="AE37" i="28"/>
  <c r="R37" i="28"/>
  <c r="S37" i="28" s="1"/>
  <c r="AE36" i="28"/>
  <c r="R36" i="28"/>
  <c r="S36" i="28" s="1"/>
  <c r="AE35" i="28"/>
  <c r="R35" i="28"/>
  <c r="S35" i="28" s="1"/>
  <c r="AE34" i="28"/>
  <c r="R34" i="28"/>
  <c r="S34" i="28" s="1"/>
  <c r="AE33" i="28"/>
  <c r="R33" i="28"/>
  <c r="S33" i="28" s="1"/>
  <c r="AE32" i="28"/>
  <c r="R32" i="28"/>
  <c r="S32" i="28" s="1"/>
  <c r="AE31" i="28"/>
  <c r="R31" i="28"/>
  <c r="S31" i="28" s="1"/>
  <c r="AE30" i="28"/>
  <c r="R30" i="28"/>
  <c r="S30" i="28" s="1"/>
  <c r="AE29" i="28"/>
  <c r="R29" i="28"/>
  <c r="S29" i="28" s="1"/>
  <c r="AE28" i="28"/>
  <c r="R28" i="28"/>
  <c r="S28" i="28" s="1"/>
  <c r="AE27" i="28"/>
  <c r="R27" i="28"/>
  <c r="S27" i="28" s="1"/>
  <c r="AE26" i="28"/>
  <c r="R26" i="28"/>
  <c r="S26" i="28" s="1"/>
  <c r="AE25" i="28"/>
  <c r="R25" i="28"/>
  <c r="S25" i="28" s="1"/>
  <c r="AE24" i="28"/>
  <c r="R24" i="28"/>
  <c r="S24" i="28" s="1"/>
  <c r="AE23" i="28"/>
  <c r="R23" i="28"/>
  <c r="S23" i="28" s="1"/>
  <c r="AE22" i="28"/>
  <c r="R22" i="28"/>
  <c r="S22" i="28" s="1"/>
  <c r="AE21" i="28"/>
  <c r="R21" i="28"/>
  <c r="S21" i="28" s="1"/>
  <c r="AE20" i="28"/>
  <c r="R20" i="28"/>
  <c r="S20" i="28" s="1"/>
  <c r="AE19" i="28"/>
  <c r="R19" i="28"/>
  <c r="S19" i="28" s="1"/>
  <c r="AE18" i="28"/>
  <c r="R18" i="28"/>
  <c r="S18" i="28" s="1"/>
  <c r="AE17" i="28"/>
  <c r="R17" i="28"/>
  <c r="S17" i="28" s="1"/>
  <c r="AE16" i="28"/>
  <c r="R16" i="28"/>
  <c r="S16" i="28" s="1"/>
  <c r="AE15" i="28"/>
  <c r="R15" i="28"/>
  <c r="S15" i="28" s="1"/>
  <c r="AE14" i="28"/>
  <c r="R14" i="28"/>
  <c r="S14" i="28" s="1"/>
  <c r="AE13" i="28"/>
  <c r="R13" i="28"/>
  <c r="S13" i="28" s="1"/>
  <c r="AE12" i="28"/>
  <c r="R12" i="28"/>
  <c r="S12" i="28" s="1"/>
  <c r="AE11" i="28"/>
  <c r="R11" i="28"/>
  <c r="S11" i="28" s="1"/>
  <c r="AE10" i="28"/>
  <c r="S10" i="28"/>
  <c r="AC6" i="28"/>
  <c r="P6" i="28"/>
  <c r="L6" i="28"/>
  <c r="H6" i="28"/>
  <c r="Y6" i="28"/>
  <c r="U6" i="28"/>
  <c r="AD51" i="28" l="1"/>
  <c r="AD27" i="28"/>
  <c r="AF27" i="28" s="1"/>
  <c r="AD15" i="28"/>
  <c r="AF15" i="28" s="1"/>
  <c r="AD49" i="28"/>
  <c r="AF49" i="28" s="1"/>
  <c r="AD25" i="28"/>
  <c r="AD13" i="28"/>
  <c r="AF13" i="28" s="1"/>
  <c r="AD10" i="28"/>
  <c r="AF10" i="28" s="1"/>
  <c r="AD48" i="28"/>
  <c r="AF48" i="28" s="1"/>
  <c r="AF36" i="28"/>
  <c r="AD24" i="28"/>
  <c r="AF24" i="28" s="1"/>
  <c r="AD12" i="28"/>
  <c r="AF12" i="28" s="1"/>
  <c r="AD59" i="28"/>
  <c r="AF59" i="28" s="1"/>
  <c r="AD47" i="28"/>
  <c r="AF47" i="28" s="1"/>
  <c r="AD23" i="28"/>
  <c r="AF23" i="28" s="1"/>
  <c r="AD11" i="28"/>
  <c r="AF11" i="28" s="1"/>
  <c r="AD58" i="28"/>
  <c r="AF58" i="28" s="1"/>
  <c r="AD46" i="28"/>
  <c r="AF46" i="28" s="1"/>
  <c r="AF34" i="28"/>
  <c r="AD22" i="28"/>
  <c r="AF22" i="28" s="1"/>
  <c r="AF14" i="28"/>
  <c r="AD57" i="28"/>
  <c r="AF57" i="28" s="1"/>
  <c r="AD45" i="28"/>
  <c r="AF45" i="28" s="1"/>
  <c r="AD21" i="28"/>
  <c r="AF21" i="28" s="1"/>
  <c r="AD56" i="28"/>
  <c r="AF56" i="28" s="1"/>
  <c r="AD44" i="28"/>
  <c r="AF44" i="28" s="1"/>
  <c r="AD20" i="28"/>
  <c r="AF20" i="28" s="1"/>
  <c r="AD55" i="28"/>
  <c r="AF55" i="28" s="1"/>
  <c r="AD43" i="28"/>
  <c r="AF31" i="28"/>
  <c r="AD19" i="28"/>
  <c r="AF19" i="28" s="1"/>
  <c r="AD54" i="28"/>
  <c r="AF54" i="28" s="1"/>
  <c r="AD42" i="28"/>
  <c r="AF42" i="28" s="1"/>
  <c r="AD30" i="28"/>
  <c r="AF30" i="28" s="1"/>
  <c r="AD18" i="28"/>
  <c r="AF18" i="28" s="1"/>
  <c r="AF51" i="28"/>
  <c r="AF35" i="28"/>
  <c r="AD53" i="28"/>
  <c r="AF53" i="28" s="1"/>
  <c r="AF41" i="28"/>
  <c r="AD29" i="28"/>
  <c r="AF29" i="28" s="1"/>
  <c r="AD17" i="28"/>
  <c r="AF17" i="28" s="1"/>
  <c r="AF25" i="28"/>
  <c r="AD52" i="28"/>
  <c r="AF52" i="28" s="1"/>
  <c r="AF40" i="28"/>
  <c r="AD28" i="28"/>
  <c r="AD16" i="28"/>
  <c r="AF16" i="28" s="1"/>
  <c r="AF50" i="28"/>
  <c r="L43" i="30"/>
  <c r="U20" i="28" s="1"/>
  <c r="U30" i="28"/>
  <c r="L31" i="30"/>
  <c r="U22" i="28"/>
  <c r="L68" i="30"/>
  <c r="L56" i="30"/>
  <c r="U17" i="28" s="1"/>
  <c r="L46" i="30"/>
  <c r="U57" i="28" s="1"/>
  <c r="L22" i="30"/>
  <c r="U24" i="28" s="1"/>
  <c r="L45" i="30"/>
  <c r="U56" i="28" s="1"/>
  <c r="L70" i="30"/>
  <c r="U16" i="28" s="1"/>
  <c r="L44" i="30"/>
  <c r="U55" i="28" s="1"/>
  <c r="L69" i="30"/>
  <c r="U23" i="28" s="1"/>
  <c r="L42" i="30"/>
  <c r="U46" i="28" s="1"/>
  <c r="L30" i="30"/>
  <c r="U29" i="28" s="1"/>
  <c r="L67" i="30"/>
  <c r="U21" i="28" s="1"/>
  <c r="U41" i="28"/>
  <c r="L55" i="30"/>
  <c r="L34" i="30"/>
  <c r="U36" i="28" s="1"/>
  <c r="L59" i="30"/>
  <c r="U48" i="28" s="1"/>
  <c r="L33" i="30"/>
  <c r="U35" i="28" s="1"/>
  <c r="L58" i="30"/>
  <c r="U19" i="28" s="1"/>
  <c r="L32" i="30"/>
  <c r="U34" i="28" s="1"/>
  <c r="L57" i="30"/>
  <c r="U18" i="28" s="1"/>
  <c r="L41" i="30"/>
  <c r="U45" i="28" s="1"/>
  <c r="L29" i="30"/>
  <c r="U28" i="28" s="1"/>
  <c r="L66" i="30"/>
  <c r="U10" i="28" s="1"/>
  <c r="L54" i="30"/>
  <c r="U13" i="28" s="1"/>
  <c r="L40" i="30"/>
  <c r="U44" i="28" s="1"/>
  <c r="L28" i="30"/>
  <c r="U27" i="28" s="1"/>
  <c r="L65" i="30"/>
  <c r="U54" i="28" s="1"/>
  <c r="L53" i="30"/>
  <c r="U12" i="28" s="1"/>
  <c r="L39" i="30"/>
  <c r="U43" i="28" s="1"/>
  <c r="L27" i="30"/>
  <c r="U42" i="28" s="1"/>
  <c r="L64" i="30"/>
  <c r="U53" i="28" s="1"/>
  <c r="L52" i="30"/>
  <c r="U11" i="28" s="1"/>
  <c r="L38" i="30"/>
  <c r="U40" i="28" s="1"/>
  <c r="L26" i="30"/>
  <c r="U33" i="28" s="1"/>
  <c r="L63" i="30"/>
  <c r="U52" i="28" s="1"/>
  <c r="L51" i="30"/>
  <c r="U15" i="28" s="1"/>
  <c r="L49" i="30"/>
  <c r="U47" i="28" s="1"/>
  <c r="L37" i="30"/>
  <c r="U39" i="28" s="1"/>
  <c r="L25" i="30"/>
  <c r="U32" i="28" s="1"/>
  <c r="L62" i="30"/>
  <c r="U51" i="28" s="1"/>
  <c r="L50" i="30"/>
  <c r="U14" i="28" s="1"/>
  <c r="L48" i="30"/>
  <c r="U59" i="28" s="1"/>
  <c r="L36" i="30"/>
  <c r="U38" i="28" s="1"/>
  <c r="L24" i="30"/>
  <c r="U26" i="28" s="1"/>
  <c r="L61" i="30"/>
  <c r="U50" i="28" s="1"/>
  <c r="L47" i="30"/>
  <c r="U58" i="28" s="1"/>
  <c r="L35" i="30"/>
  <c r="U37" i="28" s="1"/>
  <c r="L23" i="30"/>
  <c r="U25" i="28" s="1"/>
  <c r="L60" i="30"/>
  <c r="U49" i="28" s="1"/>
  <c r="Y25" i="28"/>
  <c r="Y37" i="28"/>
  <c r="Y58" i="28"/>
  <c r="Y39" i="28"/>
  <c r="Y47" i="28"/>
  <c r="Y16" i="28"/>
  <c r="Y42" i="28"/>
  <c r="Y29" i="28"/>
  <c r="Y43" i="28"/>
  <c r="M21" i="38"/>
  <c r="N21" i="38" s="1"/>
  <c r="N41" i="28"/>
  <c r="N58" i="28"/>
  <c r="N39" i="28"/>
  <c r="N28" i="28"/>
  <c r="N49" i="28"/>
  <c r="N53" i="28"/>
  <c r="N47" i="28"/>
  <c r="N40" i="28"/>
  <c r="N11" i="28"/>
  <c r="N51" i="28"/>
  <c r="N34" i="28"/>
  <c r="N55" i="28"/>
  <c r="N18" i="28"/>
  <c r="N48" i="28"/>
  <c r="N52" i="28"/>
  <c r="N54" i="28"/>
  <c r="N24" i="28"/>
  <c r="N38" i="28"/>
  <c r="N20" i="28"/>
  <c r="N29" i="28"/>
  <c r="N23" i="28"/>
  <c r="N30" i="28"/>
  <c r="N45" i="28"/>
  <c r="N21" i="28"/>
  <c r="N57" i="28"/>
  <c r="N43" i="28"/>
  <c r="N17" i="28"/>
  <c r="N59" i="28"/>
  <c r="N15" i="28"/>
  <c r="N37" i="28"/>
  <c r="N44" i="28"/>
  <c r="N36" i="28"/>
  <c r="N26" i="28"/>
  <c r="N42" i="28"/>
  <c r="N13" i="28"/>
  <c r="N16" i="28"/>
  <c r="N35" i="28"/>
  <c r="N33" i="28"/>
  <c r="N19" i="28"/>
  <c r="N12" i="28"/>
  <c r="N50" i="28"/>
  <c r="N31" i="28"/>
  <c r="N27" i="28"/>
  <c r="N25" i="28"/>
  <c r="N56" i="28"/>
  <c r="N46" i="28"/>
  <c r="N14" i="28"/>
  <c r="N32" i="28"/>
  <c r="N22" i="28"/>
  <c r="I25" i="38"/>
  <c r="H25" i="38"/>
  <c r="M25" i="38" s="1"/>
  <c r="N25" i="38" s="1"/>
  <c r="AF43" i="28"/>
  <c r="AF33" i="28"/>
  <c r="AF38" i="28"/>
  <c r="U31" i="28"/>
  <c r="Y23" i="28"/>
  <c r="Y35" i="28"/>
  <c r="Y36" i="28"/>
  <c r="Y27" i="28"/>
  <c r="Y30" i="28"/>
  <c r="G23" i="35"/>
  <c r="G22" i="35"/>
  <c r="G21" i="35"/>
  <c r="Y33" i="28"/>
  <c r="Y38" i="28"/>
  <c r="Y28" i="28"/>
  <c r="Y31" i="28"/>
  <c r="T16" i="28"/>
  <c r="T17" i="28"/>
  <c r="T20" i="28"/>
  <c r="T10" i="28"/>
  <c r="T37" i="28"/>
  <c r="T28" i="28"/>
  <c r="T15" i="28"/>
  <c r="T21" i="28"/>
  <c r="T36" i="28"/>
  <c r="T27" i="28"/>
  <c r="T59" i="28"/>
  <c r="T56" i="28"/>
  <c r="T53" i="28"/>
  <c r="T50" i="28"/>
  <c r="T47" i="28"/>
  <c r="T44" i="28"/>
  <c r="T41" i="28"/>
  <c r="T33" i="28"/>
  <c r="T38" i="28"/>
  <c r="T58" i="28"/>
  <c r="T55" i="28"/>
  <c r="T52" i="28"/>
  <c r="T49" i="28"/>
  <c r="T46" i="28"/>
  <c r="T43" i="28"/>
  <c r="T40" i="28"/>
  <c r="T22" i="28"/>
  <c r="T11" i="28"/>
  <c r="T29" i="28"/>
  <c r="T12" i="28"/>
  <c r="T24" i="28"/>
  <c r="T19" i="28"/>
  <c r="T25" i="28"/>
  <c r="T34" i="28"/>
  <c r="T39" i="28"/>
  <c r="T18" i="28"/>
  <c r="T13" i="28"/>
  <c r="T30" i="28"/>
  <c r="T57" i="28"/>
  <c r="T54" i="28"/>
  <c r="D19" i="35" s="1"/>
  <c r="E16" i="42" s="1"/>
  <c r="T51" i="28"/>
  <c r="T48" i="28"/>
  <c r="T45" i="28"/>
  <c r="T42" i="28"/>
  <c r="T23" i="28"/>
  <c r="T26" i="28"/>
  <c r="T35" i="28"/>
  <c r="T32" i="28"/>
  <c r="T14" i="28"/>
  <c r="T31" i="28"/>
  <c r="C23" i="35"/>
  <c r="D20" i="35"/>
  <c r="E17" i="42" s="1"/>
  <c r="D23" i="35"/>
  <c r="F22" i="35"/>
  <c r="B23" i="35"/>
  <c r="E23" i="35"/>
  <c r="F23" i="35"/>
  <c r="B22" i="35"/>
  <c r="D22" i="35"/>
  <c r="C22" i="35"/>
  <c r="E22" i="35"/>
  <c r="Y26" i="28"/>
  <c r="Y24" i="28"/>
  <c r="Y22" i="28"/>
  <c r="Y34" i="28"/>
  <c r="Y32" i="28"/>
  <c r="AF32" i="28"/>
  <c r="AF37" i="28"/>
  <c r="AF28" i="28"/>
  <c r="AF39" i="28"/>
  <c r="AF26" i="28"/>
  <c r="F8" i="30"/>
  <c r="F9" i="30"/>
  <c r="F10" i="30"/>
  <c r="F11" i="30"/>
  <c r="F6" i="30"/>
  <c r="E9" i="30"/>
  <c r="E10" i="30"/>
  <c r="E6" i="30"/>
  <c r="N10" i="28"/>
  <c r="D12" i="35" l="1"/>
  <c r="E9" i="42" s="1"/>
  <c r="M24" i="38"/>
  <c r="N24" i="38" s="1"/>
  <c r="M22" i="38"/>
  <c r="N22" i="38" s="1"/>
  <c r="M18" i="38"/>
  <c r="N18" i="38" s="1"/>
  <c r="M15" i="38"/>
  <c r="N15" i="38" s="1"/>
  <c r="M23" i="38"/>
  <c r="N23" i="38" s="1"/>
  <c r="M26" i="38"/>
  <c r="N26" i="38" s="1"/>
  <c r="M19" i="38"/>
  <c r="N19" i="38" s="1"/>
  <c r="M17" i="38"/>
  <c r="N17" i="38" s="1"/>
  <c r="M20" i="38"/>
  <c r="N20" i="38" s="1"/>
  <c r="M16" i="38"/>
  <c r="N16" i="38" s="1"/>
  <c r="M14" i="38"/>
  <c r="D9" i="35"/>
  <c r="E6" i="42" s="1"/>
  <c r="D13" i="35"/>
  <c r="E10" i="42" s="1"/>
  <c r="D14" i="35"/>
  <c r="E11" i="42" s="1"/>
  <c r="D10" i="35"/>
  <c r="E7" i="42" s="1"/>
  <c r="V51" i="28"/>
  <c r="W51" i="28" s="1"/>
  <c r="V25" i="28"/>
  <c r="W25" i="28" s="1"/>
  <c r="T6" i="28"/>
  <c r="AG26" i="28"/>
  <c r="V20" i="28"/>
  <c r="W20" i="28" s="1"/>
  <c r="V30" i="28"/>
  <c r="W30" i="28" s="1"/>
  <c r="D16" i="35"/>
  <c r="E13" i="42" s="1"/>
  <c r="V32" i="28"/>
  <c r="W32" i="28" s="1"/>
  <c r="D11" i="35"/>
  <c r="E8" i="42" s="1"/>
  <c r="E20" i="42" s="1"/>
  <c r="D18" i="35"/>
  <c r="E15" i="42" s="1"/>
  <c r="D15" i="35"/>
  <c r="E12" i="42" s="1"/>
  <c r="V42" i="28"/>
  <c r="W42" i="28" s="1"/>
  <c r="V57" i="28"/>
  <c r="W57" i="28" s="1"/>
  <c r="V54" i="28"/>
  <c r="W54" i="28" s="1"/>
  <c r="V16" i="28"/>
  <c r="W16" i="28" s="1"/>
  <c r="V41" i="28"/>
  <c r="W41" i="28" s="1"/>
  <c r="V22" i="28"/>
  <c r="W22" i="28" s="1"/>
  <c r="V48" i="28"/>
  <c r="W48" i="28" s="1"/>
  <c r="V13" i="28"/>
  <c r="W13" i="28" s="1"/>
  <c r="V59" i="28"/>
  <c r="W59" i="28" s="1"/>
  <c r="V18" i="28"/>
  <c r="W18" i="28" s="1"/>
  <c r="V28" i="28"/>
  <c r="W28" i="28" s="1"/>
  <c r="V40" i="28"/>
  <c r="W40" i="28" s="1"/>
  <c r="V24" i="28"/>
  <c r="W24" i="28" s="1"/>
  <c r="V38" i="28"/>
  <c r="W38" i="28" s="1"/>
  <c r="V27" i="28"/>
  <c r="W27" i="28" s="1"/>
  <c r="V58" i="28"/>
  <c r="W58" i="28" s="1"/>
  <c r="V47" i="28"/>
  <c r="W47" i="28" s="1"/>
  <c r="V43" i="28"/>
  <c r="W43" i="28" s="1"/>
  <c r="V53" i="28"/>
  <c r="W53" i="28" s="1"/>
  <c r="V14" i="28"/>
  <c r="W14" i="28" s="1"/>
  <c r="V12" i="28"/>
  <c r="W12" i="28" s="1"/>
  <c r="V26" i="28"/>
  <c r="W26" i="28" s="1"/>
  <c r="V15" i="28"/>
  <c r="W15" i="28" s="1"/>
  <c r="V46" i="28"/>
  <c r="W46" i="28" s="1"/>
  <c r="V10" i="28"/>
  <c r="W10" i="28" s="1"/>
  <c r="V52" i="28"/>
  <c r="W52" i="28" s="1"/>
  <c r="V36" i="28"/>
  <c r="W36" i="28" s="1"/>
  <c r="V39" i="28"/>
  <c r="W39" i="28" s="1"/>
  <c r="V17" i="28"/>
  <c r="W17" i="28" s="1"/>
  <c r="V19" i="28"/>
  <c r="W19" i="28" s="1"/>
  <c r="V55" i="28"/>
  <c r="W55" i="28" s="1"/>
  <c r="V49" i="28"/>
  <c r="W49" i="28" s="1"/>
  <c r="V56" i="28"/>
  <c r="W56" i="28" s="1"/>
  <c r="V34" i="28"/>
  <c r="W34" i="28" s="1"/>
  <c r="V11" i="28"/>
  <c r="W11" i="28" s="1"/>
  <c r="V29" i="28"/>
  <c r="W29" i="28" s="1"/>
  <c r="V50" i="28"/>
  <c r="W50" i="28" s="1"/>
  <c r="V37" i="28"/>
  <c r="W37" i="28" s="1"/>
  <c r="V23" i="28"/>
  <c r="W23" i="28" s="1"/>
  <c r="D21" i="35"/>
  <c r="V21" i="28"/>
  <c r="W21" i="28" s="1"/>
  <c r="V44" i="28"/>
  <c r="W44" i="28" s="1"/>
  <c r="V35" i="28"/>
  <c r="W35" i="28" s="1"/>
  <c r="D8" i="35"/>
  <c r="E5" i="42" s="1"/>
  <c r="V45" i="28"/>
  <c r="W45" i="28" s="1"/>
  <c r="V33" i="28"/>
  <c r="W33" i="28" s="1"/>
  <c r="V31" i="28"/>
  <c r="W31" i="28" s="1"/>
  <c r="D17" i="35"/>
  <c r="E14" i="42" s="1"/>
  <c r="AG20" i="28"/>
  <c r="AG57" i="28"/>
  <c r="AG29" i="28"/>
  <c r="AG48" i="28"/>
  <c r="AG40" i="28"/>
  <c r="AG51" i="28"/>
  <c r="AG54" i="28"/>
  <c r="G19" i="35" s="1"/>
  <c r="H16" i="42" s="1"/>
  <c r="AG43" i="28"/>
  <c r="Z22" i="28"/>
  <c r="AG49" i="28"/>
  <c r="AG21" i="28"/>
  <c r="AG35" i="28"/>
  <c r="AG15" i="28"/>
  <c r="AG46" i="28"/>
  <c r="AG59" i="28"/>
  <c r="AG33" i="28"/>
  <c r="AG52" i="28"/>
  <c r="AG41" i="28"/>
  <c r="AG14" i="28"/>
  <c r="AG24" i="28"/>
  <c r="AG55" i="28"/>
  <c r="AG44" i="28"/>
  <c r="AG39" i="28"/>
  <c r="AG34" i="28"/>
  <c r="AG18" i="28"/>
  <c r="AG58" i="28"/>
  <c r="AG47" i="28"/>
  <c r="AG28" i="28"/>
  <c r="AG25" i="28"/>
  <c r="AG12" i="28"/>
  <c r="AG22" i="28"/>
  <c r="AG50" i="28"/>
  <c r="AG37" i="28"/>
  <c r="AG19" i="28"/>
  <c r="AG38" i="28"/>
  <c r="AG16" i="28"/>
  <c r="AG53" i="28"/>
  <c r="AG32" i="28"/>
  <c r="AG13" i="28"/>
  <c r="AG23" i="28"/>
  <c r="AG10" i="28"/>
  <c r="AG56" i="28"/>
  <c r="AG42" i="28"/>
  <c r="AG17" i="28"/>
  <c r="AG27" i="28"/>
  <c r="AG31" i="28"/>
  <c r="AG45" i="28"/>
  <c r="AG11" i="28"/>
  <c r="AG36" i="28"/>
  <c r="AG30" i="28"/>
  <c r="Z15" i="28"/>
  <c r="Z18" i="28"/>
  <c r="Z23" i="28"/>
  <c r="Z50" i="28"/>
  <c r="Z56" i="28"/>
  <c r="Z19" i="28"/>
  <c r="Z30" i="28"/>
  <c r="Z35" i="28"/>
  <c r="Z38" i="28"/>
  <c r="Z47" i="28"/>
  <c r="Z42" i="28"/>
  <c r="Z59" i="28"/>
  <c r="Z29" i="28"/>
  <c r="Z26" i="28"/>
  <c r="Z55" i="28"/>
  <c r="Z49" i="28"/>
  <c r="Z31" i="28"/>
  <c r="Z27" i="28"/>
  <c r="Z54" i="28"/>
  <c r="Z17" i="28"/>
  <c r="Z14" i="28"/>
  <c r="Z57" i="28"/>
  <c r="Z45" i="28"/>
  <c r="Z40" i="28"/>
  <c r="Z36" i="28"/>
  <c r="Z37" i="28"/>
  <c r="Z52" i="28"/>
  <c r="Z43" i="28"/>
  <c r="Z51" i="28"/>
  <c r="Z44" i="28"/>
  <c r="Z48" i="28"/>
  <c r="Z28" i="28"/>
  <c r="Z13" i="28"/>
  <c r="Z46" i="28"/>
  <c r="Z10" i="28"/>
  <c r="Z11" i="28"/>
  <c r="Z32" i="28"/>
  <c r="Z16" i="28"/>
  <c r="Z12" i="28"/>
  <c r="Z53" i="28"/>
  <c r="Z33" i="28"/>
  <c r="Z39" i="28"/>
  <c r="Z25" i="28"/>
  <c r="Z58" i="28"/>
  <c r="Z20" i="28"/>
  <c r="Z24" i="28"/>
  <c r="Z34" i="28"/>
  <c r="Z41" i="28"/>
  <c r="Z21" i="28"/>
  <c r="O10" i="28"/>
  <c r="O19" i="28"/>
  <c r="O30" i="28"/>
  <c r="O22" i="28"/>
  <c r="O32" i="28"/>
  <c r="O51" i="28"/>
  <c r="O50" i="28"/>
  <c r="O13" i="28"/>
  <c r="O29" i="28"/>
  <c r="O33" i="28"/>
  <c r="O12" i="28"/>
  <c r="O53" i="28"/>
  <c r="O52" i="28"/>
  <c r="O17" i="28"/>
  <c r="O48" i="28"/>
  <c r="O15" i="28"/>
  <c r="O55" i="28"/>
  <c r="O47" i="28"/>
  <c r="O34" i="28"/>
  <c r="O18" i="28"/>
  <c r="O26" i="28"/>
  <c r="O40" i="28"/>
  <c r="O54" i="28"/>
  <c r="C19" i="35" s="1"/>
  <c r="D16" i="42" s="1"/>
  <c r="O49" i="28"/>
  <c r="O11" i="28"/>
  <c r="O57" i="28"/>
  <c r="O56" i="28"/>
  <c r="O59" i="28"/>
  <c r="O45" i="28"/>
  <c r="O20" i="28"/>
  <c r="O42" i="28"/>
  <c r="O41" i="28"/>
  <c r="O25" i="28"/>
  <c r="O28" i="28"/>
  <c r="O35" i="28"/>
  <c r="O27" i="28"/>
  <c r="O44" i="28"/>
  <c r="O58" i="28"/>
  <c r="O14" i="28"/>
  <c r="O31" i="28"/>
  <c r="O37" i="28"/>
  <c r="O43" i="28"/>
  <c r="O16" i="28"/>
  <c r="O23" i="28"/>
  <c r="O36" i="28"/>
  <c r="O46" i="28"/>
  <c r="O38" i="28"/>
  <c r="O21" i="28"/>
  <c r="O39" i="28"/>
  <c r="O24" i="28"/>
  <c r="E18" i="42" l="1"/>
  <c r="G20" i="35"/>
  <c r="H17" i="42" s="1"/>
  <c r="G12" i="35"/>
  <c r="H9" i="42" s="1"/>
  <c r="M27" i="38"/>
  <c r="N14" i="38"/>
  <c r="N27" i="38" s="1"/>
  <c r="C20" i="35"/>
  <c r="D17" i="42" s="1"/>
  <c r="C12" i="35"/>
  <c r="D9" i="42" s="1"/>
  <c r="G13" i="35"/>
  <c r="H10" i="42" s="1"/>
  <c r="G18" i="35"/>
  <c r="H15" i="42" s="1"/>
  <c r="G16" i="35"/>
  <c r="H13" i="42" s="1"/>
  <c r="G17" i="35"/>
  <c r="H14" i="42" s="1"/>
  <c r="AG6" i="28"/>
  <c r="G8" i="35"/>
  <c r="H5" i="42" s="1"/>
  <c r="G11" i="35"/>
  <c r="H8" i="42" s="1"/>
  <c r="G14" i="35"/>
  <c r="H11" i="42" s="1"/>
  <c r="G9" i="35"/>
  <c r="H6" i="42" s="1"/>
  <c r="G10" i="35"/>
  <c r="H7" i="42" s="1"/>
  <c r="G15" i="35"/>
  <c r="H12" i="42" s="1"/>
  <c r="C13" i="35"/>
  <c r="D10" i="42" s="1"/>
  <c r="O6" i="28"/>
  <c r="X50" i="28"/>
  <c r="X33" i="28"/>
  <c r="X34" i="28"/>
  <c r="X26" i="28"/>
  <c r="X36" i="28"/>
  <c r="X45" i="28"/>
  <c r="X56" i="28"/>
  <c r="X24" i="28"/>
  <c r="X59" i="28"/>
  <c r="X21" i="28"/>
  <c r="X49" i="28"/>
  <c r="X14" i="28"/>
  <c r="X13" i="28"/>
  <c r="X55" i="28"/>
  <c r="X53" i="28"/>
  <c r="X48" i="28"/>
  <c r="X44" i="28"/>
  <c r="X22" i="28"/>
  <c r="X31" i="28"/>
  <c r="X27" i="28"/>
  <c r="X51" i="28"/>
  <c r="X28" i="28"/>
  <c r="X47" i="28"/>
  <c r="X40" i="28"/>
  <c r="X43" i="28"/>
  <c r="X25" i="28"/>
  <c r="X38" i="28"/>
  <c r="X16" i="28"/>
  <c r="X17" i="28"/>
  <c r="X10" i="28"/>
  <c r="X30" i="28"/>
  <c r="X19" i="28"/>
  <c r="X12" i="28"/>
  <c r="X54" i="28"/>
  <c r="E19" i="35" s="1"/>
  <c r="F16" i="42" s="1"/>
  <c r="X58" i="28"/>
  <c r="X37" i="28"/>
  <c r="X29" i="28"/>
  <c r="X20" i="28"/>
  <c r="X46" i="28"/>
  <c r="X35" i="28"/>
  <c r="X11" i="28"/>
  <c r="X23" i="28"/>
  <c r="X39" i="28"/>
  <c r="X15" i="28"/>
  <c r="X42" i="28"/>
  <c r="X41" i="28"/>
  <c r="X32" i="28"/>
  <c r="X18" i="28"/>
  <c r="X57" i="28"/>
  <c r="X52" i="28"/>
  <c r="AB46" i="28"/>
  <c r="AB24" i="28"/>
  <c r="AB47" i="28"/>
  <c r="AB57" i="28"/>
  <c r="AB41" i="28"/>
  <c r="AB54" i="28"/>
  <c r="F19" i="35" s="1"/>
  <c r="G16" i="42" s="1"/>
  <c r="AB59" i="28"/>
  <c r="AB34" i="28"/>
  <c r="AB25" i="28"/>
  <c r="AB33" i="28"/>
  <c r="AB43" i="28"/>
  <c r="AB21" i="28"/>
  <c r="AB40" i="28"/>
  <c r="AB15" i="28"/>
  <c r="AB18" i="28"/>
  <c r="AB52" i="28"/>
  <c r="AB48" i="28"/>
  <c r="AB19" i="28"/>
  <c r="AB17" i="28"/>
  <c r="AB20" i="28"/>
  <c r="AB14" i="28"/>
  <c r="AB29" i="28"/>
  <c r="AB36" i="28"/>
  <c r="AB35" i="28"/>
  <c r="AB53" i="28"/>
  <c r="AB12" i="28"/>
  <c r="AB22" i="28"/>
  <c r="AB37" i="28"/>
  <c r="AB31" i="28"/>
  <c r="AB39" i="28"/>
  <c r="AB49" i="28"/>
  <c r="AB23" i="28"/>
  <c r="AB58" i="28"/>
  <c r="AB44" i="28"/>
  <c r="AB50" i="28"/>
  <c r="AB45" i="28"/>
  <c r="AB38" i="28"/>
  <c r="AB28" i="28"/>
  <c r="AB16" i="28"/>
  <c r="AB26" i="28"/>
  <c r="AB56" i="28"/>
  <c r="AB32" i="28"/>
  <c r="AB10" i="28"/>
  <c r="AB13" i="28"/>
  <c r="AB11" i="28"/>
  <c r="AB27" i="28"/>
  <c r="AB51" i="28"/>
  <c r="AB42" i="28"/>
  <c r="AB30" i="28"/>
  <c r="AB55" i="28"/>
  <c r="C16" i="35"/>
  <c r="D13" i="42" s="1"/>
  <c r="C15" i="35"/>
  <c r="D12" i="42" s="1"/>
  <c r="C17" i="35"/>
  <c r="D14" i="42" s="1"/>
  <c r="C11" i="35"/>
  <c r="D8" i="42" s="1"/>
  <c r="C14" i="35"/>
  <c r="D11" i="42" s="1"/>
  <c r="C10" i="35"/>
  <c r="D7" i="42" s="1"/>
  <c r="C18" i="35"/>
  <c r="D15" i="42" s="1"/>
  <c r="C21" i="35"/>
  <c r="C9" i="35"/>
  <c r="D6" i="42" s="1"/>
  <c r="C8" i="35"/>
  <c r="D5" i="42" s="1"/>
  <c r="D24" i="35"/>
  <c r="AB6" i="4" a="1"/>
  <c r="AB6" i="4" s="1"/>
  <c r="K59" i="4" a="1"/>
  <c r="K59" i="4" s="1"/>
  <c r="J59" i="4" s="1"/>
  <c r="K58" i="4" a="1"/>
  <c r="K57" i="4" a="1"/>
  <c r="K57" i="4" s="1"/>
  <c r="J57" i="4" s="1"/>
  <c r="K56" i="4" a="1"/>
  <c r="K56" i="4" s="1"/>
  <c r="J56" i="4" s="1"/>
  <c r="K55" i="4" a="1"/>
  <c r="K54" i="4" a="1"/>
  <c r="K54" i="4" s="1"/>
  <c r="J54" i="4" s="1"/>
  <c r="K53" i="4" a="1"/>
  <c r="K53" i="4" s="1"/>
  <c r="J53" i="4" s="1"/>
  <c r="K52" i="4" a="1"/>
  <c r="K52" i="4" s="1"/>
  <c r="J52" i="4" s="1"/>
  <c r="K51" i="4" a="1"/>
  <c r="K51" i="4" s="1"/>
  <c r="J51" i="4" s="1"/>
  <c r="K50" i="4" a="1"/>
  <c r="K50" i="4" s="1"/>
  <c r="J50" i="4" s="1"/>
  <c r="K49" i="4" a="1"/>
  <c r="K49" i="4" s="1"/>
  <c r="J49" i="4" s="1"/>
  <c r="K48" i="4" a="1"/>
  <c r="K48" i="4" s="1"/>
  <c r="J48" i="4" s="1"/>
  <c r="K47" i="4" a="1"/>
  <c r="K47" i="4" s="1"/>
  <c r="K46" i="4" a="1"/>
  <c r="K46" i="4" s="1"/>
  <c r="J46" i="4" s="1"/>
  <c r="K45" i="4" a="1"/>
  <c r="K45" i="4" s="1"/>
  <c r="J45" i="4" s="1"/>
  <c r="K44" i="4" a="1"/>
  <c r="K44" i="4" s="1"/>
  <c r="J44" i="4" s="1"/>
  <c r="K43" i="4" a="1"/>
  <c r="K43" i="4" s="1"/>
  <c r="J43" i="4" s="1"/>
  <c r="K42" i="4" a="1"/>
  <c r="K42" i="4" s="1"/>
  <c r="J42" i="4" s="1"/>
  <c r="K41" i="4" a="1"/>
  <c r="K41" i="4" s="1"/>
  <c r="J41" i="4" s="1"/>
  <c r="K40" i="4" a="1"/>
  <c r="K40" i="4" s="1"/>
  <c r="J40" i="4" s="1"/>
  <c r="K39" i="4" a="1"/>
  <c r="K39" i="4" s="1"/>
  <c r="J39" i="4" s="1"/>
  <c r="K38" i="4" a="1"/>
  <c r="K38" i="4" s="1"/>
  <c r="J38" i="4" s="1"/>
  <c r="K37" i="4" a="1"/>
  <c r="K37" i="4" s="1"/>
  <c r="J37" i="4" s="1"/>
  <c r="K36" i="4" a="1"/>
  <c r="K36" i="4" s="1"/>
  <c r="J36" i="4" s="1"/>
  <c r="K35" i="4" a="1"/>
  <c r="K35" i="4" s="1"/>
  <c r="J35" i="4" s="1"/>
  <c r="K34" i="4" a="1"/>
  <c r="K34" i="4" s="1"/>
  <c r="J34" i="4" s="1"/>
  <c r="K33" i="4" a="1"/>
  <c r="K33" i="4" s="1"/>
  <c r="J33" i="4" s="1"/>
  <c r="K32" i="4" a="1"/>
  <c r="K32" i="4" s="1"/>
  <c r="J32" i="4" s="1"/>
  <c r="K31" i="4" a="1"/>
  <c r="K31" i="4" s="1"/>
  <c r="J31" i="4" s="1"/>
  <c r="K30" i="4" a="1"/>
  <c r="K30" i="4" s="1"/>
  <c r="J30" i="4" s="1"/>
  <c r="K29" i="4" a="1"/>
  <c r="K29" i="4" s="1"/>
  <c r="J29" i="4" s="1"/>
  <c r="K28" i="4" a="1"/>
  <c r="K28" i="4" s="1"/>
  <c r="J28" i="4" s="1"/>
  <c r="K27" i="4" a="1"/>
  <c r="K27" i="4" s="1"/>
  <c r="J27" i="4" s="1"/>
  <c r="K26" i="4" a="1"/>
  <c r="K26" i="4" s="1"/>
  <c r="J26" i="4" s="1"/>
  <c r="K25" i="4" a="1"/>
  <c r="K25" i="4" s="1"/>
  <c r="J25" i="4" s="1"/>
  <c r="K24" i="4" a="1"/>
  <c r="K24" i="4" s="1"/>
  <c r="J24" i="4" s="1"/>
  <c r="K23" i="4" a="1"/>
  <c r="K23" i="4" s="1"/>
  <c r="J23" i="4" s="1"/>
  <c r="K22" i="4" a="1"/>
  <c r="K22" i="4" s="1"/>
  <c r="K21" i="4" a="1"/>
  <c r="K21" i="4" s="1"/>
  <c r="J21" i="4" s="1"/>
  <c r="K20" i="4" a="1"/>
  <c r="K20" i="4" s="1"/>
  <c r="J20" i="4" s="1"/>
  <c r="K19" i="4" a="1"/>
  <c r="K19" i="4" s="1"/>
  <c r="J19" i="4" s="1"/>
  <c r="K18" i="4" a="1"/>
  <c r="K18" i="4" s="1"/>
  <c r="J18" i="4" s="1"/>
  <c r="K17" i="4" a="1"/>
  <c r="K17" i="4" s="1"/>
  <c r="J17" i="4" s="1"/>
  <c r="K16" i="4" a="1"/>
  <c r="K16" i="4" s="1"/>
  <c r="J16" i="4" s="1"/>
  <c r="K15" i="4" a="1"/>
  <c r="K15" i="4" s="1"/>
  <c r="J15" i="4" s="1"/>
  <c r="K14" i="4" a="1"/>
  <c r="K13" i="4" a="1"/>
  <c r="K13" i="4" s="1"/>
  <c r="J13" i="4" s="1"/>
  <c r="K12" i="4" a="1"/>
  <c r="K12" i="4" s="1"/>
  <c r="J12" i="4" s="1"/>
  <c r="K11" i="4" a="1"/>
  <c r="K11" i="4" s="1"/>
  <c r="J11" i="4" s="1"/>
  <c r="K10" i="4" a="1"/>
  <c r="K10" i="4" s="1"/>
  <c r="J10" i="4" s="1"/>
  <c r="K9" i="4" a="1"/>
  <c r="K9" i="4" s="1"/>
  <c r="J9" i="4" s="1"/>
  <c r="K8" i="4" a="1"/>
  <c r="K8" i="4" s="1"/>
  <c r="J8" i="4" s="1"/>
  <c r="K7" i="4" a="1"/>
  <c r="K7" i="4" s="1"/>
  <c r="J7" i="4" s="1"/>
  <c r="K6" i="4" a="1"/>
  <c r="K6" i="4" s="1"/>
  <c r="J6" i="4" s="1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" i="4"/>
  <c r="O60" i="26"/>
  <c r="N60" i="26"/>
  <c r="M60" i="26"/>
  <c r="L60" i="26"/>
  <c r="K60" i="26"/>
  <c r="O59" i="26"/>
  <c r="N59" i="26"/>
  <c r="M59" i="26"/>
  <c r="L59" i="26"/>
  <c r="K59" i="26"/>
  <c r="O58" i="26"/>
  <c r="N58" i="26"/>
  <c r="M58" i="26"/>
  <c r="L58" i="26"/>
  <c r="K58" i="26"/>
  <c r="O57" i="26"/>
  <c r="N57" i="26"/>
  <c r="M57" i="26"/>
  <c r="L57" i="26"/>
  <c r="K57" i="26"/>
  <c r="O56" i="26"/>
  <c r="N56" i="26"/>
  <c r="M56" i="26"/>
  <c r="L56" i="26"/>
  <c r="K56" i="26"/>
  <c r="O55" i="26"/>
  <c r="N55" i="26"/>
  <c r="M55" i="26"/>
  <c r="L55" i="26"/>
  <c r="K55" i="26"/>
  <c r="O54" i="26"/>
  <c r="N54" i="26"/>
  <c r="M54" i="26"/>
  <c r="L54" i="26"/>
  <c r="K54" i="26"/>
  <c r="O53" i="26"/>
  <c r="N53" i="26"/>
  <c r="M53" i="26"/>
  <c r="L53" i="26"/>
  <c r="K53" i="26"/>
  <c r="O52" i="26"/>
  <c r="N52" i="26"/>
  <c r="M52" i="26"/>
  <c r="L52" i="26"/>
  <c r="K52" i="26"/>
  <c r="O51" i="26"/>
  <c r="N51" i="26"/>
  <c r="M51" i="26"/>
  <c r="L51" i="26"/>
  <c r="K51" i="26"/>
  <c r="O50" i="26"/>
  <c r="N50" i="26"/>
  <c r="M50" i="26"/>
  <c r="L50" i="26"/>
  <c r="K50" i="26"/>
  <c r="O49" i="26"/>
  <c r="N49" i="26"/>
  <c r="M49" i="26"/>
  <c r="L49" i="26"/>
  <c r="K49" i="26"/>
  <c r="O48" i="26"/>
  <c r="N48" i="26"/>
  <c r="M48" i="26"/>
  <c r="L48" i="26"/>
  <c r="K48" i="26"/>
  <c r="O47" i="26"/>
  <c r="N47" i="26"/>
  <c r="M47" i="26"/>
  <c r="L47" i="26"/>
  <c r="K47" i="26"/>
  <c r="O46" i="26"/>
  <c r="N46" i="26"/>
  <c r="M46" i="26"/>
  <c r="L46" i="26"/>
  <c r="K46" i="26"/>
  <c r="O45" i="26"/>
  <c r="N45" i="26"/>
  <c r="M45" i="26"/>
  <c r="L45" i="26"/>
  <c r="K45" i="26"/>
  <c r="O44" i="26"/>
  <c r="N44" i="26"/>
  <c r="M44" i="26"/>
  <c r="L44" i="26"/>
  <c r="K44" i="26"/>
  <c r="O43" i="26"/>
  <c r="N43" i="26"/>
  <c r="M43" i="26"/>
  <c r="L43" i="26"/>
  <c r="K43" i="26"/>
  <c r="O42" i="26"/>
  <c r="N42" i="26"/>
  <c r="M42" i="26"/>
  <c r="L42" i="26"/>
  <c r="K42" i="26"/>
  <c r="O41" i="26"/>
  <c r="N41" i="26"/>
  <c r="M41" i="26"/>
  <c r="L41" i="26"/>
  <c r="K41" i="26"/>
  <c r="O40" i="26"/>
  <c r="N40" i="26"/>
  <c r="M40" i="26"/>
  <c r="L40" i="26"/>
  <c r="K40" i="26"/>
  <c r="O39" i="26"/>
  <c r="N39" i="26"/>
  <c r="M39" i="26"/>
  <c r="L39" i="26"/>
  <c r="K39" i="26"/>
  <c r="O38" i="26"/>
  <c r="N38" i="26"/>
  <c r="M38" i="26"/>
  <c r="L38" i="26"/>
  <c r="K38" i="26"/>
  <c r="O37" i="26"/>
  <c r="N37" i="26"/>
  <c r="M37" i="26"/>
  <c r="L37" i="26"/>
  <c r="K37" i="26"/>
  <c r="O36" i="26"/>
  <c r="N36" i="26"/>
  <c r="M36" i="26"/>
  <c r="L36" i="26"/>
  <c r="K36" i="26"/>
  <c r="O35" i="26"/>
  <c r="N35" i="26"/>
  <c r="M35" i="26"/>
  <c r="L35" i="26"/>
  <c r="K35" i="26"/>
  <c r="O34" i="26"/>
  <c r="N34" i="26"/>
  <c r="M34" i="26"/>
  <c r="L34" i="26"/>
  <c r="K34" i="26"/>
  <c r="O33" i="26"/>
  <c r="N33" i="26"/>
  <c r="M33" i="26"/>
  <c r="L33" i="26"/>
  <c r="K33" i="26"/>
  <c r="O32" i="26"/>
  <c r="N32" i="26"/>
  <c r="M32" i="26"/>
  <c r="L32" i="26"/>
  <c r="K32" i="26"/>
  <c r="O31" i="26"/>
  <c r="N31" i="26"/>
  <c r="M31" i="26"/>
  <c r="L31" i="26"/>
  <c r="K31" i="26"/>
  <c r="O30" i="26"/>
  <c r="N30" i="26"/>
  <c r="M30" i="26"/>
  <c r="L30" i="26"/>
  <c r="K30" i="26"/>
  <c r="O29" i="26"/>
  <c r="N29" i="26"/>
  <c r="M29" i="26"/>
  <c r="L29" i="26"/>
  <c r="K29" i="26"/>
  <c r="O28" i="26"/>
  <c r="N28" i="26"/>
  <c r="M28" i="26"/>
  <c r="L28" i="26"/>
  <c r="K28" i="26"/>
  <c r="O27" i="26"/>
  <c r="N27" i="26"/>
  <c r="M27" i="26"/>
  <c r="L27" i="26"/>
  <c r="K27" i="26"/>
  <c r="O26" i="26"/>
  <c r="N26" i="26"/>
  <c r="M26" i="26"/>
  <c r="L26" i="26"/>
  <c r="K26" i="26"/>
  <c r="O25" i="26"/>
  <c r="N25" i="26"/>
  <c r="M25" i="26"/>
  <c r="L25" i="26"/>
  <c r="K25" i="26"/>
  <c r="O24" i="26"/>
  <c r="N24" i="26"/>
  <c r="M24" i="26"/>
  <c r="L24" i="26"/>
  <c r="K24" i="26"/>
  <c r="O23" i="26"/>
  <c r="N23" i="26"/>
  <c r="M23" i="26"/>
  <c r="L23" i="26"/>
  <c r="K23" i="26"/>
  <c r="O22" i="26"/>
  <c r="N22" i="26"/>
  <c r="M22" i="26"/>
  <c r="L22" i="26"/>
  <c r="K22" i="26"/>
  <c r="O21" i="26"/>
  <c r="N21" i="26"/>
  <c r="M21" i="26"/>
  <c r="L21" i="26"/>
  <c r="K21" i="26"/>
  <c r="O20" i="26"/>
  <c r="N20" i="26"/>
  <c r="M20" i="26"/>
  <c r="L20" i="26"/>
  <c r="K20" i="26"/>
  <c r="O19" i="26"/>
  <c r="N19" i="26"/>
  <c r="M19" i="26"/>
  <c r="L19" i="26"/>
  <c r="K19" i="26"/>
  <c r="O18" i="26"/>
  <c r="N18" i="26"/>
  <c r="M18" i="26"/>
  <c r="L18" i="26"/>
  <c r="K18" i="26"/>
  <c r="O17" i="26"/>
  <c r="N17" i="26"/>
  <c r="M17" i="26"/>
  <c r="L17" i="26"/>
  <c r="K17" i="26"/>
  <c r="O16" i="26"/>
  <c r="N16" i="26"/>
  <c r="M16" i="26"/>
  <c r="L16" i="26"/>
  <c r="K16" i="26"/>
  <c r="O15" i="26"/>
  <c r="N15" i="26"/>
  <c r="M15" i="26"/>
  <c r="L15" i="26"/>
  <c r="K15" i="26"/>
  <c r="O14" i="26"/>
  <c r="N14" i="26"/>
  <c r="M14" i="26"/>
  <c r="L14" i="26"/>
  <c r="K14" i="26"/>
  <c r="O13" i="26"/>
  <c r="N13" i="26"/>
  <c r="M13" i="26"/>
  <c r="L13" i="26"/>
  <c r="K13" i="26"/>
  <c r="O12" i="26"/>
  <c r="N12" i="26"/>
  <c r="M12" i="26"/>
  <c r="L12" i="26"/>
  <c r="K12" i="26"/>
  <c r="O11" i="26"/>
  <c r="N11" i="26"/>
  <c r="M11" i="26"/>
  <c r="L11" i="26"/>
  <c r="K11" i="26"/>
  <c r="O10" i="26"/>
  <c r="N10" i="26"/>
  <c r="M10" i="26"/>
  <c r="L10" i="26"/>
  <c r="K10" i="26"/>
  <c r="O9" i="26"/>
  <c r="N9" i="26"/>
  <c r="M9" i="26"/>
  <c r="L9" i="26"/>
  <c r="K9" i="26"/>
  <c r="O8" i="26"/>
  <c r="N8" i="26"/>
  <c r="M8" i="26"/>
  <c r="L8" i="26"/>
  <c r="K8" i="26"/>
  <c r="O7" i="26"/>
  <c r="N7" i="26"/>
  <c r="M7" i="26"/>
  <c r="L7" i="26"/>
  <c r="K7" i="26"/>
  <c r="J60" i="26"/>
  <c r="I60" i="26"/>
  <c r="H60" i="26"/>
  <c r="G60" i="26"/>
  <c r="F60" i="26"/>
  <c r="J59" i="26"/>
  <c r="I59" i="26"/>
  <c r="H59" i="26"/>
  <c r="G59" i="26"/>
  <c r="F59" i="26"/>
  <c r="J58" i="26"/>
  <c r="I58" i="26"/>
  <c r="H58" i="26"/>
  <c r="G58" i="26"/>
  <c r="F58" i="26"/>
  <c r="J57" i="26"/>
  <c r="I57" i="26"/>
  <c r="H57" i="26"/>
  <c r="G57" i="26"/>
  <c r="F57" i="26"/>
  <c r="J56" i="26"/>
  <c r="I56" i="26"/>
  <c r="H56" i="26"/>
  <c r="G56" i="26"/>
  <c r="F56" i="26"/>
  <c r="J55" i="26"/>
  <c r="I55" i="26"/>
  <c r="H55" i="26"/>
  <c r="G55" i="26"/>
  <c r="F55" i="26"/>
  <c r="J54" i="26"/>
  <c r="I54" i="26"/>
  <c r="H54" i="26"/>
  <c r="G54" i="26"/>
  <c r="F54" i="26"/>
  <c r="J53" i="26"/>
  <c r="I53" i="26"/>
  <c r="H53" i="26"/>
  <c r="G53" i="26"/>
  <c r="F53" i="26"/>
  <c r="J52" i="26"/>
  <c r="I52" i="26"/>
  <c r="H52" i="26"/>
  <c r="G52" i="26"/>
  <c r="F52" i="26"/>
  <c r="J51" i="26"/>
  <c r="I51" i="26"/>
  <c r="H51" i="26"/>
  <c r="G51" i="26"/>
  <c r="F51" i="26"/>
  <c r="J50" i="26"/>
  <c r="I50" i="26"/>
  <c r="H50" i="26"/>
  <c r="G50" i="26"/>
  <c r="F50" i="26"/>
  <c r="J49" i="26"/>
  <c r="I49" i="26"/>
  <c r="H49" i="26"/>
  <c r="G49" i="26"/>
  <c r="F49" i="26"/>
  <c r="J48" i="26"/>
  <c r="I48" i="26"/>
  <c r="H48" i="26"/>
  <c r="G48" i="26"/>
  <c r="F48" i="26"/>
  <c r="J47" i="26"/>
  <c r="I47" i="26"/>
  <c r="H47" i="26"/>
  <c r="G47" i="26"/>
  <c r="F47" i="26"/>
  <c r="J46" i="26"/>
  <c r="I46" i="26"/>
  <c r="H46" i="26"/>
  <c r="G46" i="26"/>
  <c r="F46" i="26"/>
  <c r="J45" i="26"/>
  <c r="I45" i="26"/>
  <c r="H45" i="26"/>
  <c r="G45" i="26"/>
  <c r="F45" i="26"/>
  <c r="J44" i="26"/>
  <c r="I44" i="26"/>
  <c r="H44" i="26"/>
  <c r="G44" i="26"/>
  <c r="F44" i="26"/>
  <c r="J43" i="26"/>
  <c r="I43" i="26"/>
  <c r="H43" i="26"/>
  <c r="G43" i="26"/>
  <c r="F43" i="26"/>
  <c r="J42" i="26"/>
  <c r="I42" i="26"/>
  <c r="H42" i="26"/>
  <c r="G42" i="26"/>
  <c r="F42" i="26"/>
  <c r="J41" i="26"/>
  <c r="I41" i="26"/>
  <c r="H41" i="26"/>
  <c r="G41" i="26"/>
  <c r="F41" i="26"/>
  <c r="J40" i="26"/>
  <c r="I40" i="26"/>
  <c r="H40" i="26"/>
  <c r="G40" i="26"/>
  <c r="F40" i="26"/>
  <c r="J39" i="26"/>
  <c r="I39" i="26"/>
  <c r="H39" i="26"/>
  <c r="G39" i="26"/>
  <c r="F39" i="26"/>
  <c r="J38" i="26"/>
  <c r="I38" i="26"/>
  <c r="H38" i="26"/>
  <c r="G38" i="26"/>
  <c r="F38" i="26"/>
  <c r="J37" i="26"/>
  <c r="I37" i="26"/>
  <c r="H37" i="26"/>
  <c r="G37" i="26"/>
  <c r="F37" i="26"/>
  <c r="J36" i="26"/>
  <c r="I36" i="26"/>
  <c r="H36" i="26"/>
  <c r="G36" i="26"/>
  <c r="F36" i="26"/>
  <c r="J35" i="26"/>
  <c r="I35" i="26"/>
  <c r="H35" i="26"/>
  <c r="G35" i="26"/>
  <c r="F35" i="26"/>
  <c r="J34" i="26"/>
  <c r="I34" i="26"/>
  <c r="H34" i="26"/>
  <c r="G34" i="26"/>
  <c r="F34" i="26"/>
  <c r="J33" i="26"/>
  <c r="I33" i="26"/>
  <c r="H33" i="26"/>
  <c r="G33" i="26"/>
  <c r="F33" i="26"/>
  <c r="J32" i="26"/>
  <c r="I32" i="26"/>
  <c r="H32" i="26"/>
  <c r="G32" i="26"/>
  <c r="F32" i="26"/>
  <c r="J31" i="26"/>
  <c r="I31" i="26"/>
  <c r="H31" i="26"/>
  <c r="G31" i="26"/>
  <c r="F31" i="26"/>
  <c r="J30" i="26"/>
  <c r="I30" i="26"/>
  <c r="H30" i="26"/>
  <c r="G30" i="26"/>
  <c r="F30" i="26"/>
  <c r="J29" i="26"/>
  <c r="I29" i="26"/>
  <c r="H29" i="26"/>
  <c r="G29" i="26"/>
  <c r="F29" i="26"/>
  <c r="J28" i="26"/>
  <c r="I28" i="26"/>
  <c r="H28" i="26"/>
  <c r="G28" i="26"/>
  <c r="F28" i="26"/>
  <c r="J27" i="26"/>
  <c r="I27" i="26"/>
  <c r="H27" i="26"/>
  <c r="G27" i="26"/>
  <c r="F27" i="26"/>
  <c r="J26" i="26"/>
  <c r="I26" i="26"/>
  <c r="H26" i="26"/>
  <c r="G26" i="26"/>
  <c r="F26" i="26"/>
  <c r="J25" i="26"/>
  <c r="I25" i="26"/>
  <c r="H25" i="26"/>
  <c r="G25" i="26"/>
  <c r="F25" i="26"/>
  <c r="J24" i="26"/>
  <c r="I24" i="26"/>
  <c r="H24" i="26"/>
  <c r="G24" i="26"/>
  <c r="F24" i="26"/>
  <c r="J23" i="26"/>
  <c r="I23" i="26"/>
  <c r="H23" i="26"/>
  <c r="G23" i="26"/>
  <c r="F23" i="26"/>
  <c r="J22" i="26"/>
  <c r="I22" i="26"/>
  <c r="H22" i="26"/>
  <c r="G22" i="26"/>
  <c r="F22" i="26"/>
  <c r="J21" i="26"/>
  <c r="I21" i="26"/>
  <c r="H21" i="26"/>
  <c r="G21" i="26"/>
  <c r="F21" i="26"/>
  <c r="J20" i="26"/>
  <c r="I20" i="26"/>
  <c r="H20" i="26"/>
  <c r="G20" i="26"/>
  <c r="F20" i="26"/>
  <c r="J19" i="26"/>
  <c r="I19" i="26"/>
  <c r="H19" i="26"/>
  <c r="G19" i="26"/>
  <c r="F19" i="26"/>
  <c r="J18" i="26"/>
  <c r="I18" i="26"/>
  <c r="H18" i="26"/>
  <c r="G18" i="26"/>
  <c r="F18" i="26"/>
  <c r="J17" i="26"/>
  <c r="I17" i="26"/>
  <c r="H17" i="26"/>
  <c r="G17" i="26"/>
  <c r="F17" i="26"/>
  <c r="J16" i="26"/>
  <c r="I16" i="26"/>
  <c r="H16" i="26"/>
  <c r="G16" i="26"/>
  <c r="F16" i="26"/>
  <c r="J15" i="26"/>
  <c r="I15" i="26"/>
  <c r="H15" i="26"/>
  <c r="G15" i="26"/>
  <c r="F15" i="26"/>
  <c r="J14" i="26"/>
  <c r="I14" i="26"/>
  <c r="H14" i="26"/>
  <c r="G14" i="26"/>
  <c r="F14" i="26"/>
  <c r="J13" i="26"/>
  <c r="I13" i="26"/>
  <c r="H13" i="26"/>
  <c r="G13" i="26"/>
  <c r="F13" i="26"/>
  <c r="J12" i="26"/>
  <c r="I12" i="26"/>
  <c r="H12" i="26"/>
  <c r="G12" i="26"/>
  <c r="F12" i="26"/>
  <c r="J11" i="26"/>
  <c r="I11" i="26"/>
  <c r="H11" i="26"/>
  <c r="G11" i="26"/>
  <c r="F11" i="26"/>
  <c r="J10" i="26"/>
  <c r="I10" i="26"/>
  <c r="H10" i="26"/>
  <c r="G10" i="26"/>
  <c r="F10" i="26"/>
  <c r="J9" i="26"/>
  <c r="I9" i="26"/>
  <c r="H9" i="26"/>
  <c r="G9" i="26"/>
  <c r="F9" i="26"/>
  <c r="J8" i="26"/>
  <c r="I8" i="26"/>
  <c r="H8" i="26"/>
  <c r="G8" i="26"/>
  <c r="F8" i="26"/>
  <c r="J7" i="26"/>
  <c r="I7" i="26"/>
  <c r="H7" i="26"/>
  <c r="G7" i="26"/>
  <c r="F7" i="26"/>
  <c r="G4" i="25"/>
  <c r="H4" i="25"/>
  <c r="N4" i="10"/>
  <c r="N2" i="10" s="1"/>
  <c r="M4" i="10"/>
  <c r="M2" i="10" s="1"/>
  <c r="L4" i="10"/>
  <c r="L2" i="10" s="1"/>
  <c r="K4" i="10"/>
  <c r="K2" i="10" s="1"/>
  <c r="J4" i="10"/>
  <c r="J2" i="10" s="1"/>
  <c r="H4" i="10"/>
  <c r="H2" i="10" s="1"/>
  <c r="G4" i="10"/>
  <c r="G2" i="10" s="1"/>
  <c r="F4" i="10"/>
  <c r="F2" i="10" s="1"/>
  <c r="E4" i="10"/>
  <c r="E2" i="10" s="1"/>
  <c r="D4" i="10"/>
  <c r="D2" i="10" s="1"/>
  <c r="AE2" i="1"/>
  <c r="AB2" i="1"/>
  <c r="AA2" i="1"/>
  <c r="X2" i="1"/>
  <c r="W2" i="1"/>
  <c r="V2" i="1"/>
  <c r="P2" i="1"/>
  <c r="O2" i="1"/>
  <c r="N2" i="1"/>
  <c r="M2" i="1"/>
  <c r="L2" i="1"/>
  <c r="K2" i="1"/>
  <c r="H20" i="42" l="1"/>
  <c r="H18" i="42"/>
  <c r="D20" i="42"/>
  <c r="D18" i="42"/>
  <c r="F12" i="35"/>
  <c r="G9" i="42" s="1"/>
  <c r="E12" i="35"/>
  <c r="F9" i="42" s="1"/>
  <c r="E20" i="35"/>
  <c r="F17" i="42" s="1"/>
  <c r="F20" i="35"/>
  <c r="G17" i="42" s="1"/>
  <c r="K55" i="4"/>
  <c r="J55" i="4"/>
  <c r="K58" i="4"/>
  <c r="J58" i="4"/>
  <c r="K14" i="4"/>
  <c r="J14" i="4"/>
  <c r="G24" i="35"/>
  <c r="AB6" i="28"/>
  <c r="X6" i="28"/>
  <c r="F13" i="35"/>
  <c r="G10" i="42" s="1"/>
  <c r="E13" i="35"/>
  <c r="F10" i="42" s="1"/>
  <c r="E17" i="35"/>
  <c r="F14" i="42" s="1"/>
  <c r="E18" i="35"/>
  <c r="F15" i="42" s="1"/>
  <c r="E16" i="35"/>
  <c r="F13" i="42" s="1"/>
  <c r="E21" i="35"/>
  <c r="E8" i="35"/>
  <c r="F5" i="42" s="1"/>
  <c r="E9" i="35"/>
  <c r="F6" i="42" s="1"/>
  <c r="E11" i="35"/>
  <c r="F8" i="42" s="1"/>
  <c r="E14" i="35"/>
  <c r="F11" i="42" s="1"/>
  <c r="E10" i="35"/>
  <c r="F7" i="42" s="1"/>
  <c r="E15" i="35"/>
  <c r="F12" i="42" s="1"/>
  <c r="F18" i="35"/>
  <c r="G15" i="42" s="1"/>
  <c r="F17" i="35"/>
  <c r="G14" i="42" s="1"/>
  <c r="F14" i="35"/>
  <c r="G11" i="42" s="1"/>
  <c r="F11" i="35"/>
  <c r="G8" i="42" s="1"/>
  <c r="F10" i="35"/>
  <c r="G7" i="42" s="1"/>
  <c r="F15" i="35"/>
  <c r="G12" i="42" s="1"/>
  <c r="F16" i="35"/>
  <c r="G13" i="42" s="1"/>
  <c r="F9" i="35"/>
  <c r="G6" i="42" s="1"/>
  <c r="F21" i="35"/>
  <c r="F8" i="35"/>
  <c r="G5" i="42" s="1"/>
  <c r="B17" i="28"/>
  <c r="E14" i="26"/>
  <c r="D14" i="26" s="1"/>
  <c r="B41" i="28"/>
  <c r="E38" i="26"/>
  <c r="B53" i="28"/>
  <c r="E50" i="26"/>
  <c r="D50" i="26" s="1"/>
  <c r="B30" i="28"/>
  <c r="E27" i="26"/>
  <c r="D27" i="26" s="1"/>
  <c r="B42" i="28"/>
  <c r="E39" i="26"/>
  <c r="D39" i="26" s="1"/>
  <c r="B19" i="28"/>
  <c r="E16" i="26"/>
  <c r="E28" i="26"/>
  <c r="D28" i="26" s="1"/>
  <c r="B43" i="28"/>
  <c r="E40" i="26"/>
  <c r="B55" i="28"/>
  <c r="E52" i="26"/>
  <c r="D52" i="26" s="1"/>
  <c r="B20" i="28"/>
  <c r="E17" i="26"/>
  <c r="D17" i="26" s="1"/>
  <c r="B44" i="28"/>
  <c r="E41" i="26"/>
  <c r="B56" i="28"/>
  <c r="E53" i="26"/>
  <c r="B21" i="28"/>
  <c r="E18" i="26"/>
  <c r="D18" i="26" s="1"/>
  <c r="B33" i="28"/>
  <c r="E30" i="26"/>
  <c r="B45" i="28"/>
  <c r="E42" i="26"/>
  <c r="D42" i="26" s="1"/>
  <c r="B10" i="28"/>
  <c r="E7" i="26"/>
  <c r="D7" i="26" s="1"/>
  <c r="E19" i="26"/>
  <c r="B34" i="28"/>
  <c r="E31" i="26"/>
  <c r="B46" i="28"/>
  <c r="E43" i="26"/>
  <c r="D43" i="26" s="1"/>
  <c r="E55" i="26"/>
  <c r="B11" i="28"/>
  <c r="E8" i="26"/>
  <c r="D8" i="26" s="1"/>
  <c r="B35" i="28"/>
  <c r="E32" i="26"/>
  <c r="D32" i="26" s="1"/>
  <c r="B47" i="28"/>
  <c r="E44" i="26"/>
  <c r="B12" i="28"/>
  <c r="E9" i="26"/>
  <c r="B24" i="28"/>
  <c r="E21" i="26"/>
  <c r="D21" i="26" s="1"/>
  <c r="B36" i="28"/>
  <c r="E33" i="26"/>
  <c r="E45" i="26"/>
  <c r="D45" i="26" s="1"/>
  <c r="E57" i="26"/>
  <c r="D57" i="26" s="1"/>
  <c r="B13" i="28"/>
  <c r="E10" i="26"/>
  <c r="E22" i="26"/>
  <c r="B37" i="28"/>
  <c r="E34" i="26"/>
  <c r="D34" i="26" s="1"/>
  <c r="B49" i="28"/>
  <c r="E46" i="26"/>
  <c r="E58" i="26"/>
  <c r="D58" i="26" s="1"/>
  <c r="B14" i="28"/>
  <c r="E11" i="26"/>
  <c r="D11" i="26" s="1"/>
  <c r="B38" i="28"/>
  <c r="E35" i="26"/>
  <c r="Q35" i="26" s="1"/>
  <c r="U35" i="26" s="1"/>
  <c r="B15" i="28"/>
  <c r="E12" i="26"/>
  <c r="B27" i="28"/>
  <c r="E24" i="26"/>
  <c r="D24" i="26" s="1"/>
  <c r="B39" i="28"/>
  <c r="E36" i="26"/>
  <c r="E60" i="26"/>
  <c r="D60" i="26" s="1"/>
  <c r="B16" i="28"/>
  <c r="E13" i="26"/>
  <c r="E25" i="26"/>
  <c r="B40" i="28"/>
  <c r="E37" i="26"/>
  <c r="B52" i="28"/>
  <c r="E49" i="26"/>
  <c r="D49" i="26" s="1"/>
  <c r="B48" i="28"/>
  <c r="J47" i="4"/>
  <c r="B58" i="28"/>
  <c r="B22" i="28"/>
  <c r="J22" i="4"/>
  <c r="B25" i="28" s="1"/>
  <c r="B28" i="28"/>
  <c r="B31" i="28"/>
  <c r="AG6" i="4"/>
  <c r="AG7" i="4"/>
  <c r="AC8" i="4"/>
  <c r="AD10" i="4"/>
  <c r="AF12" i="4"/>
  <c r="AC15" i="4"/>
  <c r="AE7" i="4"/>
  <c r="AG9" i="4"/>
  <c r="AD12" i="4"/>
  <c r="AF14" i="4"/>
  <c r="AF7" i="4"/>
  <c r="AC10" i="4"/>
  <c r="AE12" i="4"/>
  <c r="AG14" i="4"/>
  <c r="AG12" i="4"/>
  <c r="AC13" i="4"/>
  <c r="AC6" i="4"/>
  <c r="AE8" i="4"/>
  <c r="AG10" i="4"/>
  <c r="AD13" i="4"/>
  <c r="AF15" i="4"/>
  <c r="AD15" i="4"/>
  <c r="AE15" i="4"/>
  <c r="AD6" i="4"/>
  <c r="AF8" i="4"/>
  <c r="AC11" i="4"/>
  <c r="AE13" i="4"/>
  <c r="AG15" i="4"/>
  <c r="AF10" i="4"/>
  <c r="AE6" i="4"/>
  <c r="AG8" i="4"/>
  <c r="AD11" i="4"/>
  <c r="AF13" i="4"/>
  <c r="AC16" i="4"/>
  <c r="AF6" i="4"/>
  <c r="AC9" i="4"/>
  <c r="AE11" i="4"/>
  <c r="AG13" i="4"/>
  <c r="AD16" i="4"/>
  <c r="AE10" i="4"/>
  <c r="AD8" i="4"/>
  <c r="AD9" i="4"/>
  <c r="AF11" i="4"/>
  <c r="AC14" i="4"/>
  <c r="AE16" i="4"/>
  <c r="AC7" i="4"/>
  <c r="AE9" i="4"/>
  <c r="AG11" i="4"/>
  <c r="AD14" i="4"/>
  <c r="AF16" i="4"/>
  <c r="AD7" i="4"/>
  <c r="AF9" i="4"/>
  <c r="AC12" i="4"/>
  <c r="AE14" i="4"/>
  <c r="AG16" i="4"/>
  <c r="AF156" i="1"/>
  <c r="AF99" i="1"/>
  <c r="AF98" i="1"/>
  <c r="AF97" i="1"/>
  <c r="AF96" i="1"/>
  <c r="AF95" i="1"/>
  <c r="AF94" i="1"/>
  <c r="AF93" i="1"/>
  <c r="AF92" i="1"/>
  <c r="AF91" i="1"/>
  <c r="AF90" i="1"/>
  <c r="AF89" i="1"/>
  <c r="AF48" i="1"/>
  <c r="AF47" i="1"/>
  <c r="G20" i="42" l="1"/>
  <c r="F20" i="42"/>
  <c r="G18" i="42"/>
  <c r="F18" i="42"/>
  <c r="S35" i="26"/>
  <c r="B15" i="12"/>
  <c r="B34" i="12"/>
  <c r="B8" i="12"/>
  <c r="B25" i="12"/>
  <c r="B35" i="12"/>
  <c r="B42" i="12"/>
  <c r="B51" i="12"/>
  <c r="B56" i="12"/>
  <c r="B63" i="12"/>
  <c r="B75" i="12"/>
  <c r="B40" i="12"/>
  <c r="B71" i="12"/>
  <c r="B23" i="12"/>
  <c r="B69" i="12"/>
  <c r="B26" i="12"/>
  <c r="B10" i="12"/>
  <c r="AF10" i="1"/>
  <c r="B18" i="12"/>
  <c r="B27" i="12"/>
  <c r="B44" i="12"/>
  <c r="B53" i="12"/>
  <c r="B76" i="12"/>
  <c r="B39" i="12"/>
  <c r="B41" i="12"/>
  <c r="B70" i="12"/>
  <c r="B52" i="12"/>
  <c r="B17" i="12"/>
  <c r="B28" i="12"/>
  <c r="B20" i="12"/>
  <c r="B29" i="12"/>
  <c r="B37" i="12"/>
  <c r="B47" i="12"/>
  <c r="B57" i="12"/>
  <c r="B66" i="12"/>
  <c r="B72" i="12"/>
  <c r="B33" i="12"/>
  <c r="B50" i="12"/>
  <c r="B24" i="12"/>
  <c r="B9" i="12"/>
  <c r="B36" i="12"/>
  <c r="B11" i="12"/>
  <c r="B54" i="12"/>
  <c r="B12" i="12"/>
  <c r="B46" i="12"/>
  <c r="B61" i="12"/>
  <c r="B13" i="12"/>
  <c r="B21" i="12"/>
  <c r="B30" i="12"/>
  <c r="B38" i="12"/>
  <c r="B48" i="12"/>
  <c r="B73" i="12"/>
  <c r="B65" i="12"/>
  <c r="B16" i="12"/>
  <c r="B7" i="12"/>
  <c r="B55" i="12"/>
  <c r="B31" i="12"/>
  <c r="B58" i="12"/>
  <c r="B67" i="12"/>
  <c r="B6" i="12"/>
  <c r="B43" i="12"/>
  <c r="B19" i="12"/>
  <c r="B45" i="12"/>
  <c r="B22" i="12"/>
  <c r="B14" i="12"/>
  <c r="AF16" i="1"/>
  <c r="B32" i="12"/>
  <c r="B49" i="12"/>
  <c r="B59" i="12"/>
  <c r="AF88" i="1"/>
  <c r="B60" i="12"/>
  <c r="B62" i="12"/>
  <c r="B64" i="12"/>
  <c r="B68" i="12"/>
  <c r="B74" i="12"/>
  <c r="P27" i="26"/>
  <c r="Q39" i="26"/>
  <c r="Q17" i="26"/>
  <c r="P39" i="26"/>
  <c r="P57" i="26"/>
  <c r="Q32" i="26"/>
  <c r="P42" i="26"/>
  <c r="P50" i="26"/>
  <c r="P11" i="26"/>
  <c r="P18" i="26"/>
  <c r="P34" i="26"/>
  <c r="P52" i="26"/>
  <c r="P28" i="26"/>
  <c r="Q57" i="26"/>
  <c r="Q50" i="26"/>
  <c r="Q8" i="26"/>
  <c r="Q14" i="26"/>
  <c r="P60" i="26"/>
  <c r="P43" i="26"/>
  <c r="Q24" i="26"/>
  <c r="Q43" i="26"/>
  <c r="P7" i="26"/>
  <c r="D60" i="30"/>
  <c r="F52" i="28"/>
  <c r="D37" i="30"/>
  <c r="D47" i="30"/>
  <c r="D34" i="30"/>
  <c r="D55" i="30"/>
  <c r="D41" i="30"/>
  <c r="D28" i="30"/>
  <c r="P45" i="26"/>
  <c r="Q7" i="26"/>
  <c r="Q28" i="26"/>
  <c r="Q45" i="26"/>
  <c r="Q37" i="26"/>
  <c r="D37" i="26"/>
  <c r="F14" i="28" s="1"/>
  <c r="P12" i="26"/>
  <c r="D12" i="26"/>
  <c r="P22" i="26"/>
  <c r="D22" i="26"/>
  <c r="F24" i="28" s="1"/>
  <c r="Q9" i="26"/>
  <c r="D9" i="26"/>
  <c r="Q31" i="26"/>
  <c r="D31" i="26"/>
  <c r="P53" i="26"/>
  <c r="D53" i="26"/>
  <c r="F53" i="28" s="1"/>
  <c r="P16" i="26"/>
  <c r="D16" i="26"/>
  <c r="P21" i="26"/>
  <c r="Q42" i="26"/>
  <c r="S42" i="26" s="1"/>
  <c r="P25" i="26"/>
  <c r="D25" i="26"/>
  <c r="F27" i="28" s="1"/>
  <c r="P35" i="26"/>
  <c r="R35" i="26" s="1"/>
  <c r="V35" i="26" s="1"/>
  <c r="D35" i="26"/>
  <c r="P10" i="26"/>
  <c r="D10" i="26"/>
  <c r="P44" i="26"/>
  <c r="D44" i="26"/>
  <c r="F45" i="28" s="1"/>
  <c r="Q19" i="26"/>
  <c r="D19" i="26"/>
  <c r="F21" i="28" s="1"/>
  <c r="P41" i="26"/>
  <c r="D41" i="26"/>
  <c r="Q21" i="26"/>
  <c r="Q11" i="26"/>
  <c r="P32" i="26"/>
  <c r="Q18" i="26"/>
  <c r="P14" i="26"/>
  <c r="R14" i="26" s="1"/>
  <c r="P58" i="26"/>
  <c r="P49" i="26"/>
  <c r="P13" i="26"/>
  <c r="D13" i="26"/>
  <c r="D67" i="30"/>
  <c r="D45" i="30"/>
  <c r="D21" i="30"/>
  <c r="F10" i="28"/>
  <c r="D31" i="30"/>
  <c r="D40" i="30"/>
  <c r="F30" i="28"/>
  <c r="D25" i="30"/>
  <c r="Q58" i="26"/>
  <c r="P8" i="26"/>
  <c r="Q41" i="26"/>
  <c r="Q49" i="26"/>
  <c r="D57" i="30"/>
  <c r="D54" i="30"/>
  <c r="D63" i="30"/>
  <c r="D61" i="30"/>
  <c r="D70" i="30"/>
  <c r="D22" i="30"/>
  <c r="Q60" i="26"/>
  <c r="S60" i="26" s="1"/>
  <c r="Q34" i="26"/>
  <c r="Q27" i="26"/>
  <c r="S27" i="26" s="1"/>
  <c r="P17" i="26"/>
  <c r="R17" i="26" s="1"/>
  <c r="D68" i="30"/>
  <c r="P24" i="26"/>
  <c r="R24" i="26" s="1"/>
  <c r="Q10" i="26"/>
  <c r="Q52" i="26"/>
  <c r="Q36" i="26"/>
  <c r="D36" i="26"/>
  <c r="Q46" i="26"/>
  <c r="D46" i="26"/>
  <c r="Q33" i="26"/>
  <c r="D33" i="26"/>
  <c r="P55" i="26"/>
  <c r="D55" i="26"/>
  <c r="F55" i="28" s="1"/>
  <c r="P30" i="26"/>
  <c r="D30" i="26"/>
  <c r="F20" i="28" s="1"/>
  <c r="Q40" i="26"/>
  <c r="D40" i="26"/>
  <c r="F11" i="28" s="1"/>
  <c r="P38" i="26"/>
  <c r="D38" i="26"/>
  <c r="Q25" i="26"/>
  <c r="P33" i="26"/>
  <c r="Q13" i="26"/>
  <c r="P19" i="26"/>
  <c r="R19" i="26" s="1"/>
  <c r="Q44" i="26"/>
  <c r="Q22" i="26"/>
  <c r="P37" i="26"/>
  <c r="R37" i="26" s="1"/>
  <c r="Q16" i="26"/>
  <c r="P46" i="26"/>
  <c r="Q53" i="26"/>
  <c r="Q12" i="26"/>
  <c r="P9" i="26"/>
  <c r="P31" i="26"/>
  <c r="P36" i="26"/>
  <c r="Q38" i="26"/>
  <c r="Q55" i="26"/>
  <c r="Q30" i="26"/>
  <c r="S30" i="26" s="1"/>
  <c r="P40" i="26"/>
  <c r="B29" i="28"/>
  <c r="E26" i="26"/>
  <c r="D26" i="26" s="1"/>
  <c r="B26" i="28"/>
  <c r="E23" i="26"/>
  <c r="D23" i="26" s="1"/>
  <c r="B23" i="28"/>
  <c r="E20" i="26"/>
  <c r="D20" i="26" s="1"/>
  <c r="B18" i="28"/>
  <c r="E15" i="26"/>
  <c r="D15" i="26" s="1"/>
  <c r="E59" i="26"/>
  <c r="D59" i="26" s="1"/>
  <c r="B59" i="28"/>
  <c r="E56" i="26"/>
  <c r="D56" i="26" s="1"/>
  <c r="B57" i="28"/>
  <c r="E54" i="26"/>
  <c r="D54" i="26" s="1"/>
  <c r="B54" i="28"/>
  <c r="E51" i="26"/>
  <c r="D51" i="26" s="1"/>
  <c r="B51" i="28"/>
  <c r="E48" i="26"/>
  <c r="D48" i="26" s="1"/>
  <c r="B50" i="28"/>
  <c r="E47" i="26"/>
  <c r="D47" i="26" s="1"/>
  <c r="F48" i="28" s="1"/>
  <c r="B32" i="28"/>
  <c r="E29" i="26"/>
  <c r="D29" i="26" s="1"/>
  <c r="F31" i="28" s="1"/>
  <c r="F42" i="28" l="1"/>
  <c r="F46" i="28"/>
  <c r="F37" i="28"/>
  <c r="F35" i="28"/>
  <c r="F17" i="28"/>
  <c r="T36" i="26"/>
  <c r="R36" i="26"/>
  <c r="T31" i="26"/>
  <c r="R31" i="26"/>
  <c r="T9" i="26"/>
  <c r="R9" i="26"/>
  <c r="T38" i="26"/>
  <c r="R38" i="26"/>
  <c r="T16" i="26"/>
  <c r="R16" i="26"/>
  <c r="U53" i="26"/>
  <c r="W53" i="26" s="1"/>
  <c r="S53" i="26"/>
  <c r="U45" i="26"/>
  <c r="S45" i="26"/>
  <c r="U14" i="26"/>
  <c r="S14" i="26"/>
  <c r="V14" i="26" s="1"/>
  <c r="T57" i="26"/>
  <c r="R57" i="26"/>
  <c r="U36" i="26"/>
  <c r="W36" i="26" s="1"/>
  <c r="S36" i="26"/>
  <c r="U19" i="26"/>
  <c r="S19" i="26"/>
  <c r="V19" i="26" s="1"/>
  <c r="T60" i="26"/>
  <c r="R60" i="26"/>
  <c r="V60" i="26" s="1"/>
  <c r="U52" i="26"/>
  <c r="S52" i="26"/>
  <c r="T49" i="26"/>
  <c r="R49" i="26"/>
  <c r="U40" i="26"/>
  <c r="S40" i="26"/>
  <c r="U10" i="26"/>
  <c r="S10" i="26"/>
  <c r="T58" i="26"/>
  <c r="R58" i="26"/>
  <c r="T44" i="26"/>
  <c r="R44" i="26"/>
  <c r="T53" i="26"/>
  <c r="R53" i="26"/>
  <c r="U28" i="26"/>
  <c r="S28" i="26"/>
  <c r="U8" i="26"/>
  <c r="S8" i="26"/>
  <c r="T39" i="26"/>
  <c r="R39" i="26"/>
  <c r="U12" i="26"/>
  <c r="S12" i="26"/>
  <c r="T13" i="26"/>
  <c r="R13" i="26"/>
  <c r="U37" i="26"/>
  <c r="S37" i="26"/>
  <c r="V37" i="26" s="1"/>
  <c r="U32" i="26"/>
  <c r="S32" i="26"/>
  <c r="T46" i="26"/>
  <c r="R46" i="26"/>
  <c r="U16" i="26"/>
  <c r="S16" i="26"/>
  <c r="U7" i="26"/>
  <c r="S7" i="26"/>
  <c r="U50" i="26"/>
  <c r="S50" i="26"/>
  <c r="U17" i="26"/>
  <c r="S17" i="26"/>
  <c r="V17" i="26" s="1"/>
  <c r="T30" i="26"/>
  <c r="R30" i="26"/>
  <c r="V30" i="26" s="1"/>
  <c r="T10" i="26"/>
  <c r="R10" i="26"/>
  <c r="U57" i="26"/>
  <c r="S57" i="26"/>
  <c r="U39" i="26"/>
  <c r="S39" i="26"/>
  <c r="T33" i="26"/>
  <c r="R33" i="26"/>
  <c r="U18" i="26"/>
  <c r="S18" i="26"/>
  <c r="U31" i="26"/>
  <c r="S31" i="26"/>
  <c r="T45" i="26"/>
  <c r="R45" i="26"/>
  <c r="T40" i="26"/>
  <c r="W40" i="26" s="1"/>
  <c r="R40" i="26"/>
  <c r="U22" i="26"/>
  <c r="S22" i="26"/>
  <c r="T32" i="26"/>
  <c r="W32" i="26" s="1"/>
  <c r="R32" i="26"/>
  <c r="T28" i="26"/>
  <c r="W28" i="26" s="1"/>
  <c r="R28" i="26"/>
  <c r="T27" i="26"/>
  <c r="R27" i="26"/>
  <c r="V27" i="26" s="1"/>
  <c r="U44" i="26"/>
  <c r="S44" i="26"/>
  <c r="T55" i="26"/>
  <c r="W55" i="26" s="1"/>
  <c r="R55" i="26"/>
  <c r="U11" i="26"/>
  <c r="S11" i="26"/>
  <c r="U9" i="26"/>
  <c r="W9" i="26" s="1"/>
  <c r="H12" i="28" s="1"/>
  <c r="S9" i="26"/>
  <c r="T52" i="26"/>
  <c r="W52" i="26" s="1"/>
  <c r="R52" i="26"/>
  <c r="V52" i="26" s="1"/>
  <c r="U55" i="26"/>
  <c r="S55" i="26"/>
  <c r="U34" i="26"/>
  <c r="S34" i="26"/>
  <c r="U21" i="26"/>
  <c r="S21" i="26"/>
  <c r="T34" i="26"/>
  <c r="W34" i="26" s="1"/>
  <c r="R34" i="26"/>
  <c r="U38" i="26"/>
  <c r="S38" i="26"/>
  <c r="U13" i="26"/>
  <c r="S13" i="26"/>
  <c r="U33" i="26"/>
  <c r="S33" i="26"/>
  <c r="U49" i="26"/>
  <c r="S49" i="26"/>
  <c r="T25" i="26"/>
  <c r="R25" i="26"/>
  <c r="T22" i="26"/>
  <c r="R22" i="26"/>
  <c r="T7" i="26"/>
  <c r="R7" i="26"/>
  <c r="T18" i="26"/>
  <c r="W18" i="26" s="1"/>
  <c r="R18" i="26"/>
  <c r="V18" i="26" s="1"/>
  <c r="U41" i="26"/>
  <c r="S41" i="26"/>
  <c r="U43" i="26"/>
  <c r="S43" i="26"/>
  <c r="T11" i="26"/>
  <c r="R11" i="26"/>
  <c r="U25" i="26"/>
  <c r="S25" i="26"/>
  <c r="U46" i="26"/>
  <c r="W46" i="26" s="1"/>
  <c r="S46" i="26"/>
  <c r="T8" i="26"/>
  <c r="W8" i="26" s="1"/>
  <c r="R8" i="26"/>
  <c r="T41" i="26"/>
  <c r="W41" i="26" s="1"/>
  <c r="R41" i="26"/>
  <c r="V41" i="26" s="1"/>
  <c r="T21" i="26"/>
  <c r="R21" i="26"/>
  <c r="T12" i="26"/>
  <c r="R12" i="26"/>
  <c r="U24" i="26"/>
  <c r="S24" i="26"/>
  <c r="V24" i="26" s="1"/>
  <c r="T50" i="26"/>
  <c r="W50" i="26" s="1"/>
  <c r="R50" i="26"/>
  <c r="U58" i="26"/>
  <c r="S58" i="26"/>
  <c r="T43" i="26"/>
  <c r="R43" i="26"/>
  <c r="T42" i="26"/>
  <c r="R42" i="26"/>
  <c r="V42" i="26" s="1"/>
  <c r="W49" i="26"/>
  <c r="U30" i="26"/>
  <c r="T17" i="26"/>
  <c r="W17" i="26" s="1"/>
  <c r="T14" i="26"/>
  <c r="W14" i="26" s="1"/>
  <c r="T19" i="26"/>
  <c r="U27" i="26"/>
  <c r="U42" i="26"/>
  <c r="U60" i="26"/>
  <c r="T24" i="26"/>
  <c r="T35" i="26"/>
  <c r="W35" i="26" s="1"/>
  <c r="T37" i="26"/>
  <c r="W37" i="26" s="1"/>
  <c r="W45" i="26"/>
  <c r="D65" i="30"/>
  <c r="F57" i="28"/>
  <c r="D43" i="30"/>
  <c r="F33" i="28"/>
  <c r="D27" i="30"/>
  <c r="F16" i="28"/>
  <c r="D26" i="30"/>
  <c r="F15" i="28"/>
  <c r="D39" i="30"/>
  <c r="F29" i="28"/>
  <c r="D32" i="30"/>
  <c r="F22" i="28"/>
  <c r="F19" i="28"/>
  <c r="D30" i="30"/>
  <c r="D50" i="30"/>
  <c r="F40" i="28"/>
  <c r="F59" i="28"/>
  <c r="D66" i="30"/>
  <c r="F58" i="28"/>
  <c r="D36" i="30"/>
  <c r="F26" i="28"/>
  <c r="D42" i="30"/>
  <c r="F32" i="28"/>
  <c r="D56" i="30"/>
  <c r="F47" i="28"/>
  <c r="D64" i="30"/>
  <c r="F56" i="28"/>
  <c r="D53" i="30"/>
  <c r="F44" i="28"/>
  <c r="D46" i="30"/>
  <c r="F36" i="28"/>
  <c r="D24" i="30"/>
  <c r="F13" i="28"/>
  <c r="D44" i="30"/>
  <c r="F34" i="28"/>
  <c r="D59" i="30"/>
  <c r="F50" i="28"/>
  <c r="D58" i="30"/>
  <c r="F49" i="28"/>
  <c r="D69" i="30"/>
  <c r="D29" i="30"/>
  <c r="F18" i="28"/>
  <c r="D48" i="30"/>
  <c r="F38" i="28"/>
  <c r="D23" i="30"/>
  <c r="F12" i="28"/>
  <c r="F51" i="28"/>
  <c r="D33" i="30"/>
  <c r="F23" i="28"/>
  <c r="D51" i="30"/>
  <c r="F41" i="28"/>
  <c r="D49" i="30"/>
  <c r="F39" i="28"/>
  <c r="D38" i="30"/>
  <c r="F28" i="28"/>
  <c r="D35" i="30"/>
  <c r="F25" i="28"/>
  <c r="D62" i="30"/>
  <c r="F54" i="28"/>
  <c r="F43" i="28"/>
  <c r="D52" i="30"/>
  <c r="P47" i="26"/>
  <c r="Q47" i="26"/>
  <c r="Q59" i="26"/>
  <c r="P59" i="26"/>
  <c r="P15" i="26"/>
  <c r="Q15" i="26"/>
  <c r="Q48" i="26"/>
  <c r="P48" i="26"/>
  <c r="Q20" i="26"/>
  <c r="P20" i="26"/>
  <c r="P51" i="26"/>
  <c r="Q51" i="26"/>
  <c r="P23" i="26"/>
  <c r="Q23" i="26"/>
  <c r="P54" i="26"/>
  <c r="Q54" i="26"/>
  <c r="P29" i="26"/>
  <c r="Q29" i="26"/>
  <c r="P26" i="26"/>
  <c r="Q26" i="26"/>
  <c r="Q56" i="26"/>
  <c r="P56" i="26"/>
  <c r="W33" i="26" l="1"/>
  <c r="V40" i="26"/>
  <c r="W44" i="26"/>
  <c r="H17" i="28"/>
  <c r="H11" i="28"/>
  <c r="V8" i="26"/>
  <c r="V7" i="26"/>
  <c r="V55" i="26"/>
  <c r="W38" i="26"/>
  <c r="V22" i="26"/>
  <c r="V45" i="26"/>
  <c r="V13" i="26"/>
  <c r="V28" i="26"/>
  <c r="W10" i="26"/>
  <c r="W60" i="26"/>
  <c r="H53" i="28"/>
  <c r="W12" i="26"/>
  <c r="W22" i="26"/>
  <c r="H24" i="28" s="1"/>
  <c r="W39" i="26"/>
  <c r="W58" i="26"/>
  <c r="W25" i="26"/>
  <c r="H27" i="28" s="1"/>
  <c r="H39" i="28"/>
  <c r="W21" i="26"/>
  <c r="H36" i="28" s="1"/>
  <c r="W43" i="26"/>
  <c r="W13" i="26"/>
  <c r="H16" i="28" s="1"/>
  <c r="V50" i="26"/>
  <c r="V32" i="26"/>
  <c r="V44" i="26"/>
  <c r="V10" i="26"/>
  <c r="V46" i="26"/>
  <c r="V57" i="26"/>
  <c r="W24" i="26"/>
  <c r="W57" i="26"/>
  <c r="H56" i="28" s="1"/>
  <c r="V21" i="26"/>
  <c r="W42" i="26"/>
  <c r="W31" i="26"/>
  <c r="H33" i="28" s="1"/>
  <c r="W11" i="26"/>
  <c r="H14" i="28" s="1"/>
  <c r="W16" i="26"/>
  <c r="H19" i="28" s="1"/>
  <c r="W19" i="26"/>
  <c r="H49" i="28"/>
  <c r="W7" i="26"/>
  <c r="T51" i="26"/>
  <c r="R51" i="26"/>
  <c r="V58" i="26"/>
  <c r="V16" i="26"/>
  <c r="T29" i="26"/>
  <c r="R29" i="26"/>
  <c r="U54" i="26"/>
  <c r="S54" i="26"/>
  <c r="U59" i="26"/>
  <c r="S59" i="26"/>
  <c r="U23" i="26"/>
  <c r="S23" i="26"/>
  <c r="U47" i="26"/>
  <c r="S47" i="26"/>
  <c r="V43" i="26"/>
  <c r="T15" i="26"/>
  <c r="R15" i="26"/>
  <c r="T59" i="26"/>
  <c r="R59" i="26"/>
  <c r="T54" i="26"/>
  <c r="R54" i="26"/>
  <c r="T23" i="26"/>
  <c r="R23" i="26"/>
  <c r="T47" i="26"/>
  <c r="W47" i="26" s="1"/>
  <c r="H50" i="28" s="1"/>
  <c r="R47" i="26"/>
  <c r="V47" i="26" s="1"/>
  <c r="V39" i="26"/>
  <c r="V38" i="26"/>
  <c r="V9" i="26"/>
  <c r="T20" i="26"/>
  <c r="R20" i="26"/>
  <c r="W27" i="26"/>
  <c r="U20" i="26"/>
  <c r="S20" i="26"/>
  <c r="V49" i="26"/>
  <c r="V31" i="26"/>
  <c r="U56" i="26"/>
  <c r="S56" i="26"/>
  <c r="V34" i="26"/>
  <c r="T56" i="26"/>
  <c r="R56" i="26"/>
  <c r="T48" i="26"/>
  <c r="R48" i="26"/>
  <c r="V33" i="26"/>
  <c r="V53" i="26"/>
  <c r="V36" i="26"/>
  <c r="U51" i="26"/>
  <c r="S51" i="26"/>
  <c r="U26" i="26"/>
  <c r="S26" i="26"/>
  <c r="T26" i="26"/>
  <c r="R26" i="26"/>
  <c r="U48" i="26"/>
  <c r="S48" i="26"/>
  <c r="U29" i="26"/>
  <c r="S29" i="26"/>
  <c r="U15" i="26"/>
  <c r="S15" i="26"/>
  <c r="W30" i="26"/>
  <c r="H20" i="28" s="1"/>
  <c r="V12" i="26"/>
  <c r="V11" i="26"/>
  <c r="V25" i="26"/>
  <c r="H45" i="28"/>
  <c r="H30" i="28"/>
  <c r="H37" i="28"/>
  <c r="H34" i="28"/>
  <c r="H47" i="28"/>
  <c r="H52" i="28"/>
  <c r="H40" i="28" l="1"/>
  <c r="H15" i="28"/>
  <c r="H44" i="28"/>
  <c r="H13" i="28"/>
  <c r="H55" i="28"/>
  <c r="H42" i="28"/>
  <c r="H21" i="28"/>
  <c r="H41" i="28"/>
  <c r="H10" i="28"/>
  <c r="W51" i="26"/>
  <c r="H51" i="28" s="1"/>
  <c r="W23" i="26"/>
  <c r="H38" i="28" s="1"/>
  <c r="H26" i="28"/>
  <c r="V23" i="26"/>
  <c r="W54" i="26"/>
  <c r="H57" i="28" s="1"/>
  <c r="W48" i="26"/>
  <c r="W29" i="26"/>
  <c r="V48" i="26"/>
  <c r="W15" i="26"/>
  <c r="H18" i="28" s="1"/>
  <c r="V20" i="26"/>
  <c r="W59" i="26"/>
  <c r="H58" i="28" s="1"/>
  <c r="W26" i="26"/>
  <c r="H29" i="28" s="1"/>
  <c r="W56" i="26"/>
  <c r="H59" i="28" s="1"/>
  <c r="W20" i="26"/>
  <c r="V15" i="26"/>
  <c r="H54" i="28"/>
  <c r="H48" i="28"/>
  <c r="H32" i="28"/>
  <c r="V54" i="26"/>
  <c r="V56" i="26"/>
  <c r="H23" i="28"/>
  <c r="V26" i="26"/>
  <c r="V59" i="26"/>
  <c r="V29" i="26"/>
  <c r="V51" i="26"/>
  <c r="H25" i="28"/>
  <c r="H22" i="28" l="1"/>
  <c r="H35" i="28"/>
  <c r="H43" i="28"/>
  <c r="H31" i="28"/>
  <c r="H46" i="28"/>
  <c r="W61" i="26"/>
  <c r="H28" i="28"/>
  <c r="I11" i="28" l="1"/>
  <c r="J11" i="28" s="1"/>
  <c r="I14" i="28"/>
  <c r="J14" i="28" s="1"/>
  <c r="I41" i="28"/>
  <c r="J41" i="28" s="1"/>
  <c r="I56" i="28"/>
  <c r="J56" i="28" s="1"/>
  <c r="I44" i="28"/>
  <c r="J44" i="28" s="1"/>
  <c r="I34" i="28"/>
  <c r="J34" i="28" s="1"/>
  <c r="I21" i="28"/>
  <c r="J21" i="28" s="1"/>
  <c r="I42" i="28"/>
  <c r="J42" i="28" s="1"/>
  <c r="I45" i="28"/>
  <c r="J45" i="28" s="1"/>
  <c r="I58" i="28"/>
  <c r="J58" i="28" s="1"/>
  <c r="I46" i="28"/>
  <c r="J46" i="28" s="1"/>
  <c r="I33" i="28"/>
  <c r="J33" i="28" s="1"/>
  <c r="I27" i="28"/>
  <c r="J27" i="28" s="1"/>
  <c r="I25" i="28"/>
  <c r="J25" i="28" s="1"/>
  <c r="I32" i="28"/>
  <c r="J32" i="28" s="1"/>
  <c r="I53" i="28"/>
  <c r="J53" i="28" s="1"/>
  <c r="I29" i="28"/>
  <c r="J29" i="28" s="1"/>
  <c r="I17" i="28"/>
  <c r="J17" i="28" s="1"/>
  <c r="I52" i="28"/>
  <c r="J52" i="28" s="1"/>
  <c r="I10" i="28"/>
  <c r="J10" i="28" s="1"/>
  <c r="I24" i="28"/>
  <c r="J24" i="28" s="1"/>
  <c r="I37" i="28"/>
  <c r="J37" i="28" s="1"/>
  <c r="I13" i="28"/>
  <c r="J13" i="28" s="1"/>
  <c r="I43" i="28"/>
  <c r="J43" i="28" s="1"/>
  <c r="I22" i="28"/>
  <c r="J22" i="28" s="1"/>
  <c r="I48" i="28"/>
  <c r="J48" i="28" s="1"/>
  <c r="I59" i="28"/>
  <c r="J59" i="28" s="1"/>
  <c r="I36" i="28"/>
  <c r="J36" i="28" s="1"/>
  <c r="I19" i="28"/>
  <c r="J19" i="28" s="1"/>
  <c r="I31" i="28"/>
  <c r="J31" i="28" s="1"/>
  <c r="I18" i="28"/>
  <c r="J18" i="28" s="1"/>
  <c r="I54" i="28"/>
  <c r="J54" i="28" s="1"/>
  <c r="I39" i="28"/>
  <c r="J39" i="28" s="1"/>
  <c r="I26" i="28"/>
  <c r="J26" i="28" s="1"/>
  <c r="I49" i="28"/>
  <c r="J49" i="28" s="1"/>
  <c r="I47" i="28"/>
  <c r="J47" i="28" s="1"/>
  <c r="I12" i="28"/>
  <c r="J12" i="28" s="1"/>
  <c r="I28" i="28"/>
  <c r="J28" i="28" s="1"/>
  <c r="I57" i="28"/>
  <c r="J57" i="28" s="1"/>
  <c r="I51" i="28"/>
  <c r="J51" i="28" s="1"/>
  <c r="I30" i="28"/>
  <c r="J30" i="28" s="1"/>
  <c r="I40" i="28"/>
  <c r="J40" i="28" s="1"/>
  <c r="I20" i="28"/>
  <c r="J20" i="28" s="1"/>
  <c r="I15" i="28"/>
  <c r="J15" i="28" s="1"/>
  <c r="I55" i="28"/>
  <c r="J55" i="28" s="1"/>
  <c r="I16" i="28"/>
  <c r="J16" i="28" s="1"/>
  <c r="I23" i="28"/>
  <c r="J23" i="28" s="1"/>
  <c r="I35" i="28"/>
  <c r="J35" i="28" s="1"/>
  <c r="I50" i="28"/>
  <c r="J50" i="28" s="1"/>
  <c r="I38" i="28"/>
  <c r="J38" i="28" s="1"/>
  <c r="D13" i="9"/>
  <c r="C13" i="9" s="1"/>
  <c r="D12" i="9"/>
  <c r="D11" i="9"/>
  <c r="D10" i="9"/>
  <c r="D9" i="9"/>
  <c r="C15" i="9" s="1"/>
  <c r="K58" i="28" l="1"/>
  <c r="AH58" i="28" s="1"/>
  <c r="B21" i="35"/>
  <c r="C16" i="9"/>
  <c r="AF134" i="1"/>
  <c r="AF15" i="1"/>
  <c r="AF101" i="1"/>
  <c r="AF102" i="1"/>
  <c r="AF8" i="1"/>
  <c r="AF54" i="1"/>
  <c r="AF33" i="1"/>
  <c r="AF58" i="1"/>
  <c r="AF55" i="1"/>
  <c r="AF45" i="1"/>
  <c r="AF57" i="1"/>
  <c r="AF160" i="1"/>
  <c r="AF35" i="1"/>
  <c r="AF71" i="1"/>
  <c r="AF144" i="1"/>
  <c r="AF9" i="1"/>
  <c r="AF120" i="1"/>
  <c r="AF81" i="1"/>
  <c r="AF63" i="1"/>
  <c r="AF127" i="1"/>
  <c r="AF68" i="1"/>
  <c r="AF61" i="1"/>
  <c r="AF60" i="1"/>
  <c r="AF38" i="1"/>
  <c r="AF100" i="1"/>
  <c r="AF44" i="1"/>
  <c r="AF136" i="1"/>
  <c r="AF13" i="1"/>
  <c r="AF133" i="1"/>
  <c r="AF105" i="1"/>
  <c r="AF82" i="1"/>
  <c r="AF28" i="1"/>
  <c r="AF125" i="1"/>
  <c r="AF126" i="1"/>
  <c r="AF87" i="1"/>
  <c r="AF165" i="1"/>
  <c r="AF128" i="1"/>
  <c r="AF69" i="1"/>
  <c r="AF121" i="1"/>
  <c r="AF24" i="1"/>
  <c r="AF135" i="1"/>
  <c r="AF104" i="1"/>
  <c r="AF131" i="1"/>
  <c r="AF52" i="1"/>
  <c r="AF161" i="1"/>
  <c r="AF163" i="1"/>
  <c r="AF153" i="1"/>
  <c r="AF70" i="1"/>
  <c r="AF66" i="1"/>
  <c r="AF50" i="1"/>
  <c r="AF18" i="1"/>
  <c r="AF154" i="1"/>
  <c r="AF107" i="1"/>
  <c r="AF7" i="1"/>
  <c r="AF123" i="1"/>
  <c r="AF42" i="1"/>
  <c r="AF129" i="1"/>
  <c r="AF132" i="1"/>
  <c r="AF46" i="1"/>
  <c r="AF32" i="1"/>
  <c r="AF80" i="1"/>
  <c r="AF25" i="1"/>
  <c r="AF85" i="1"/>
  <c r="AF11" i="1"/>
  <c r="AF23" i="1"/>
  <c r="AF17" i="1"/>
  <c r="AF62" i="1"/>
  <c r="AF84" i="1"/>
  <c r="AF164" i="1"/>
  <c r="AF51" i="1"/>
  <c r="AF124" i="1"/>
  <c r="AF106" i="1"/>
  <c r="AF162" i="1"/>
  <c r="AF130" i="1"/>
  <c r="AF22" i="1"/>
  <c r="AF37" i="1"/>
  <c r="AF147" i="1"/>
  <c r="AF43" i="1"/>
  <c r="AF67" i="1"/>
  <c r="AF27" i="1"/>
  <c r="AF159" i="1"/>
  <c r="AF65" i="1"/>
  <c r="AF30" i="1"/>
  <c r="AF53" i="1"/>
  <c r="AF49" i="1"/>
  <c r="AF157" i="1"/>
  <c r="AF12" i="1"/>
  <c r="AF158" i="1"/>
  <c r="AF6" i="1"/>
  <c r="AF83" i="1"/>
  <c r="AF64" i="1"/>
  <c r="AF86" i="1"/>
  <c r="AF34" i="1"/>
  <c r="AF122" i="1"/>
  <c r="AF103" i="1"/>
  <c r="AF29" i="1"/>
  <c r="AF59" i="1"/>
  <c r="AF14" i="1"/>
  <c r="AF155" i="1"/>
  <c r="AF56" i="1"/>
  <c r="C10" i="9"/>
  <c r="AF39" i="1"/>
  <c r="AF148" i="1"/>
  <c r="D17" i="9"/>
  <c r="C17" i="9"/>
  <c r="AF151" i="1"/>
  <c r="AF166" i="1"/>
  <c r="AF152" i="1"/>
  <c r="D15" i="9"/>
  <c r="D16" i="9"/>
  <c r="C9" i="9"/>
  <c r="C12" i="9"/>
  <c r="C11" i="9"/>
  <c r="K37" i="28" l="1"/>
  <c r="AH37" i="28" s="1"/>
  <c r="K41" i="28"/>
  <c r="AH41" i="28" s="1"/>
  <c r="K45" i="28"/>
  <c r="AH45" i="28" s="1"/>
  <c r="K23" i="28"/>
  <c r="AH23" i="28" s="1"/>
  <c r="K35" i="28"/>
  <c r="AH35" i="28" s="1"/>
  <c r="K20" i="28"/>
  <c r="AH20" i="28" s="1"/>
  <c r="K30" i="28"/>
  <c r="AH30" i="28" s="1"/>
  <c r="K49" i="28"/>
  <c r="AH49" i="28" s="1"/>
  <c r="K15" i="28"/>
  <c r="AH15" i="28" s="1"/>
  <c r="K14" i="28"/>
  <c r="AH14" i="28" s="1"/>
  <c r="K25" i="28"/>
  <c r="AH25" i="28" s="1"/>
  <c r="AJ25" i="28" s="1"/>
  <c r="K33" i="28"/>
  <c r="AH33" i="28" s="1"/>
  <c r="K42" i="28"/>
  <c r="AH42" i="28" s="1"/>
  <c r="K57" i="28"/>
  <c r="AH57" i="28" s="1"/>
  <c r="K48" i="28"/>
  <c r="AH48" i="28" s="1"/>
  <c r="K47" i="28"/>
  <c r="AH47" i="28" s="1"/>
  <c r="K26" i="28"/>
  <c r="AH26" i="28" s="1"/>
  <c r="K44" i="28"/>
  <c r="AH44" i="28" s="1"/>
  <c r="K53" i="28"/>
  <c r="AH53" i="28" s="1"/>
  <c r="K29" i="28"/>
  <c r="AH29" i="28" s="1"/>
  <c r="K59" i="28"/>
  <c r="AH59" i="28" s="1"/>
  <c r="K52" i="28"/>
  <c r="AH52" i="28" s="1"/>
  <c r="K27" i="28"/>
  <c r="AH27" i="28" s="1"/>
  <c r="K51" i="28"/>
  <c r="AH51" i="28" s="1"/>
  <c r="K39" i="28"/>
  <c r="AH39" i="28" s="1"/>
  <c r="K38" i="28"/>
  <c r="AH38" i="28" s="1"/>
  <c r="K24" i="28"/>
  <c r="AH24" i="28" s="1"/>
  <c r="K16" i="28"/>
  <c r="AH16" i="28" s="1"/>
  <c r="K46" i="28"/>
  <c r="AH46" i="28" s="1"/>
  <c r="AJ46" i="28" s="1"/>
  <c r="K54" i="28"/>
  <c r="AH54" i="28" s="1"/>
  <c r="AJ54" i="28" s="1"/>
  <c r="K40" i="28"/>
  <c r="AH40" i="28" s="1"/>
  <c r="K12" i="28"/>
  <c r="AH12" i="28" s="1"/>
  <c r="K21" i="28"/>
  <c r="AH21" i="28" s="1"/>
  <c r="K32" i="28"/>
  <c r="AH32" i="28" s="1"/>
  <c r="K56" i="28"/>
  <c r="AH56" i="28" s="1"/>
  <c r="K34" i="28"/>
  <c r="AH34" i="28" s="1"/>
  <c r="K10" i="28"/>
  <c r="AH10" i="28" s="1"/>
  <c r="K31" i="28"/>
  <c r="AH31" i="28" s="1"/>
  <c r="K18" i="28"/>
  <c r="AH18" i="28" s="1"/>
  <c r="K43" i="28"/>
  <c r="AH43" i="28" s="1"/>
  <c r="K22" i="28"/>
  <c r="AH22" i="28" s="1"/>
  <c r="K36" i="28"/>
  <c r="AH36" i="28" s="1"/>
  <c r="K13" i="28"/>
  <c r="AH13" i="28" s="1"/>
  <c r="K19" i="28"/>
  <c r="AH19" i="28" s="1"/>
  <c r="K55" i="28"/>
  <c r="K50" i="28"/>
  <c r="AH50" i="28" s="1"/>
  <c r="K11" i="28"/>
  <c r="AH11" i="28" s="1"/>
  <c r="AJ11" i="28" s="1"/>
  <c r="K17" i="28"/>
  <c r="AH17" i="28" s="1"/>
  <c r="K28" i="28"/>
  <c r="AH28" i="28" s="1"/>
  <c r="AF137" i="1"/>
  <c r="AH137" i="1" s="1"/>
  <c r="AF74" i="1"/>
  <c r="AF139" i="1"/>
  <c r="AF138" i="1"/>
  <c r="AF140" i="1"/>
  <c r="AF76" i="1"/>
  <c r="AH76" i="1" s="1"/>
  <c r="AF143" i="1"/>
  <c r="AH143" i="1" s="1"/>
  <c r="AF141" i="1"/>
  <c r="AH141" i="1" s="1"/>
  <c r="AF75" i="1"/>
  <c r="AH75" i="1" s="1"/>
  <c r="AF73" i="1"/>
  <c r="AH73" i="1" s="1"/>
  <c r="AF79" i="1"/>
  <c r="AH79" i="1" s="1"/>
  <c r="AF72" i="1"/>
  <c r="AH72" i="1" s="1"/>
  <c r="AF142" i="1"/>
  <c r="AH142" i="1" s="1"/>
  <c r="AF77" i="1"/>
  <c r="AH77" i="1" s="1"/>
  <c r="AF78" i="1"/>
  <c r="AF118" i="1"/>
  <c r="AF21" i="1"/>
  <c r="AF115" i="1"/>
  <c r="AH115" i="1" s="1"/>
  <c r="AF41" i="1"/>
  <c r="AH41" i="1" s="1"/>
  <c r="AF111" i="1"/>
  <c r="AH111" i="1" s="1"/>
  <c r="AF109" i="1"/>
  <c r="AH109" i="1" s="1"/>
  <c r="AF146" i="1"/>
  <c r="AH146" i="1" s="1"/>
  <c r="AF113" i="1"/>
  <c r="AH113" i="1" s="1"/>
  <c r="AF114" i="1"/>
  <c r="AH114" i="1" s="1"/>
  <c r="AF36" i="1"/>
  <c r="AH36" i="1" s="1"/>
  <c r="AF19" i="1"/>
  <c r="AH19" i="1" s="1"/>
  <c r="AF20" i="1"/>
  <c r="AF145" i="1"/>
  <c r="AF117" i="1"/>
  <c r="AF40" i="1"/>
  <c r="AF108" i="1"/>
  <c r="AH108" i="1" s="1"/>
  <c r="AF112" i="1"/>
  <c r="AH112" i="1" s="1"/>
  <c r="AF119" i="1"/>
  <c r="AH119" i="1" s="1"/>
  <c r="AF31" i="1"/>
  <c r="AH31" i="1" s="1"/>
  <c r="AF110" i="1"/>
  <c r="AH110" i="1" s="1"/>
  <c r="AF26" i="1"/>
  <c r="AH26" i="1" s="1"/>
  <c r="AF116" i="1"/>
  <c r="AH116" i="1" s="1"/>
  <c r="AF149" i="1"/>
  <c r="AH149" i="1" s="1"/>
  <c r="AF150" i="1"/>
  <c r="AG110" i="1"/>
  <c r="AI110" i="1" s="1"/>
  <c r="AH15" i="1"/>
  <c r="AG15" i="1"/>
  <c r="AI15" i="1" s="1"/>
  <c r="AH27" i="1"/>
  <c r="AG27" i="1"/>
  <c r="AI27" i="1" s="1"/>
  <c r="AH39" i="1"/>
  <c r="AG39" i="1"/>
  <c r="AI39" i="1" s="1"/>
  <c r="AH51" i="1"/>
  <c r="AG51" i="1"/>
  <c r="AI51" i="1" s="1"/>
  <c r="AH63" i="1"/>
  <c r="AG63" i="1"/>
  <c r="AI63" i="1" s="1"/>
  <c r="AG75" i="1"/>
  <c r="AI75" i="1" s="1"/>
  <c r="AH87" i="1"/>
  <c r="AG87" i="1"/>
  <c r="AI87" i="1" s="1"/>
  <c r="AH99" i="1"/>
  <c r="AG99" i="1"/>
  <c r="AI99" i="1" s="1"/>
  <c r="AG111" i="1"/>
  <c r="AI111" i="1" s="1"/>
  <c r="AH123" i="1"/>
  <c r="AG123" i="1"/>
  <c r="AI123" i="1" s="1"/>
  <c r="AH135" i="1"/>
  <c r="AG135" i="1"/>
  <c r="AI135" i="1" s="1"/>
  <c r="AH147" i="1"/>
  <c r="AG147" i="1"/>
  <c r="AI147" i="1" s="1"/>
  <c r="AH159" i="1"/>
  <c r="AG159" i="1"/>
  <c r="AI159" i="1" s="1"/>
  <c r="AH158" i="1"/>
  <c r="AG158" i="1"/>
  <c r="AI158" i="1" s="1"/>
  <c r="AH16" i="1"/>
  <c r="AG16" i="1"/>
  <c r="AI16" i="1" s="1"/>
  <c r="AH28" i="1"/>
  <c r="AG28" i="1"/>
  <c r="AI28" i="1" s="1"/>
  <c r="AH40" i="1"/>
  <c r="AG40" i="1"/>
  <c r="AI40" i="1" s="1"/>
  <c r="AH52" i="1"/>
  <c r="AG52" i="1"/>
  <c r="AI52" i="1" s="1"/>
  <c r="AH64" i="1"/>
  <c r="AG64" i="1"/>
  <c r="AI64" i="1" s="1"/>
  <c r="AG76" i="1"/>
  <c r="AI76" i="1" s="1"/>
  <c r="AH88" i="1"/>
  <c r="AG88" i="1"/>
  <c r="AI88" i="1" s="1"/>
  <c r="AH100" i="1"/>
  <c r="AG100" i="1"/>
  <c r="AI100" i="1" s="1"/>
  <c r="AG112" i="1"/>
  <c r="AI112" i="1" s="1"/>
  <c r="AH124" i="1"/>
  <c r="AG124" i="1"/>
  <c r="AI124" i="1" s="1"/>
  <c r="AH136" i="1"/>
  <c r="AG136" i="1"/>
  <c r="AI136" i="1" s="1"/>
  <c r="AH148" i="1"/>
  <c r="AG148" i="1"/>
  <c r="AI148" i="1" s="1"/>
  <c r="AH160" i="1"/>
  <c r="AG160" i="1"/>
  <c r="AI160" i="1" s="1"/>
  <c r="AH134" i="1"/>
  <c r="AG134" i="1"/>
  <c r="AI134" i="1" s="1"/>
  <c r="AG17" i="1"/>
  <c r="AI17" i="1" s="1"/>
  <c r="AH17" i="1"/>
  <c r="AG29" i="1"/>
  <c r="AI29" i="1" s="1"/>
  <c r="AH29" i="1"/>
  <c r="AG41" i="1"/>
  <c r="AI41" i="1" s="1"/>
  <c r="AG53" i="1"/>
  <c r="AI53" i="1" s="1"/>
  <c r="AH53" i="1"/>
  <c r="AG65" i="1"/>
  <c r="AI65" i="1" s="1"/>
  <c r="AH65" i="1"/>
  <c r="AG77" i="1"/>
  <c r="AI77" i="1" s="1"/>
  <c r="AG89" i="1"/>
  <c r="AI89" i="1" s="1"/>
  <c r="AH89" i="1"/>
  <c r="AG101" i="1"/>
  <c r="AI101" i="1" s="1"/>
  <c r="AH101" i="1"/>
  <c r="AG113" i="1"/>
  <c r="AI113" i="1" s="1"/>
  <c r="AG125" i="1"/>
  <c r="AI125" i="1" s="1"/>
  <c r="AH125" i="1"/>
  <c r="AG137" i="1"/>
  <c r="AI137" i="1" s="1"/>
  <c r="AG149" i="1"/>
  <c r="AI149" i="1" s="1"/>
  <c r="AG161" i="1"/>
  <c r="AI161" i="1" s="1"/>
  <c r="AH161" i="1"/>
  <c r="AG146" i="1"/>
  <c r="AI146" i="1" s="1"/>
  <c r="AG6" i="1"/>
  <c r="AI6" i="1" s="1"/>
  <c r="AH6" i="1"/>
  <c r="AG18" i="1"/>
  <c r="AI18" i="1" s="1"/>
  <c r="AH18" i="1"/>
  <c r="AG30" i="1"/>
  <c r="AI30" i="1" s="1"/>
  <c r="AH30" i="1"/>
  <c r="AG42" i="1"/>
  <c r="AI42" i="1" s="1"/>
  <c r="AH42" i="1"/>
  <c r="AG54" i="1"/>
  <c r="AI54" i="1" s="1"/>
  <c r="AH54" i="1"/>
  <c r="AG66" i="1"/>
  <c r="AI66" i="1" s="1"/>
  <c r="AH66" i="1"/>
  <c r="AG78" i="1"/>
  <c r="AI78" i="1" s="1"/>
  <c r="AH78" i="1"/>
  <c r="AG90" i="1"/>
  <c r="AI90" i="1" s="1"/>
  <c r="AH90" i="1"/>
  <c r="AG102" i="1"/>
  <c r="AI102" i="1" s="1"/>
  <c r="AH102" i="1"/>
  <c r="AG114" i="1"/>
  <c r="AI114" i="1" s="1"/>
  <c r="AG126" i="1"/>
  <c r="AI126" i="1" s="1"/>
  <c r="AH126" i="1"/>
  <c r="AG138" i="1"/>
  <c r="AI138" i="1" s="1"/>
  <c r="AH138" i="1"/>
  <c r="AG150" i="1"/>
  <c r="AI150" i="1" s="1"/>
  <c r="AH150" i="1"/>
  <c r="AG162" i="1"/>
  <c r="AI162" i="1" s="1"/>
  <c r="AH162" i="1"/>
  <c r="AH122" i="1"/>
  <c r="AG122" i="1"/>
  <c r="AI122" i="1" s="1"/>
  <c r="AG7" i="1"/>
  <c r="AI7" i="1" s="1"/>
  <c r="AH7" i="1"/>
  <c r="AG19" i="1"/>
  <c r="AI19" i="1" s="1"/>
  <c r="AG31" i="1"/>
  <c r="AI31" i="1" s="1"/>
  <c r="AG43" i="1"/>
  <c r="AI43" i="1" s="1"/>
  <c r="AH43" i="1"/>
  <c r="AG55" i="1"/>
  <c r="AI55" i="1" s="1"/>
  <c r="AH55" i="1"/>
  <c r="AG67" i="1"/>
  <c r="AI67" i="1" s="1"/>
  <c r="AH67" i="1"/>
  <c r="AG79" i="1"/>
  <c r="AI79" i="1" s="1"/>
  <c r="AG91" i="1"/>
  <c r="AI91" i="1" s="1"/>
  <c r="AH91" i="1"/>
  <c r="AG103" i="1"/>
  <c r="AI103" i="1" s="1"/>
  <c r="AH103" i="1"/>
  <c r="AG115" i="1"/>
  <c r="AI115" i="1" s="1"/>
  <c r="AG127" i="1"/>
  <c r="AI127" i="1" s="1"/>
  <c r="AH127" i="1"/>
  <c r="AG139" i="1"/>
  <c r="AI139" i="1" s="1"/>
  <c r="AH139" i="1"/>
  <c r="AG151" i="1"/>
  <c r="AI151" i="1" s="1"/>
  <c r="AH151" i="1"/>
  <c r="AG163" i="1"/>
  <c r="AI163" i="1" s="1"/>
  <c r="AH163" i="1"/>
  <c r="AG128" i="1"/>
  <c r="AI128" i="1" s="1"/>
  <c r="AH128" i="1"/>
  <c r="AG140" i="1"/>
  <c r="AI140" i="1" s="1"/>
  <c r="AH140" i="1"/>
  <c r="AG152" i="1"/>
  <c r="AI152" i="1" s="1"/>
  <c r="AH152" i="1"/>
  <c r="AG164" i="1"/>
  <c r="AI164" i="1" s="1"/>
  <c r="AH164" i="1"/>
  <c r="AH14" i="1"/>
  <c r="AG14" i="1"/>
  <c r="AI14" i="1" s="1"/>
  <c r="AH62" i="1"/>
  <c r="AG62" i="1"/>
  <c r="AI62" i="1" s="1"/>
  <c r="AG44" i="1"/>
  <c r="AI44" i="1" s="1"/>
  <c r="AH44" i="1"/>
  <c r="AG80" i="1"/>
  <c r="AI80" i="1" s="1"/>
  <c r="AH80" i="1"/>
  <c r="AG9" i="1"/>
  <c r="AI9" i="1" s="1"/>
  <c r="AH9" i="1"/>
  <c r="AG33" i="1"/>
  <c r="AI33" i="1" s="1"/>
  <c r="AH33" i="1"/>
  <c r="AG45" i="1"/>
  <c r="AI45" i="1" s="1"/>
  <c r="AH45" i="1"/>
  <c r="AG57" i="1"/>
  <c r="AI57" i="1" s="1"/>
  <c r="AH57" i="1"/>
  <c r="AG69" i="1"/>
  <c r="AI69" i="1" s="1"/>
  <c r="AH69" i="1"/>
  <c r="AG81" i="1"/>
  <c r="AI81" i="1" s="1"/>
  <c r="AH81" i="1"/>
  <c r="AG93" i="1"/>
  <c r="AI93" i="1" s="1"/>
  <c r="AH93" i="1"/>
  <c r="AG105" i="1"/>
  <c r="AI105" i="1" s="1"/>
  <c r="AH105" i="1"/>
  <c r="AG117" i="1"/>
  <c r="AI117" i="1" s="1"/>
  <c r="AH117" i="1"/>
  <c r="AG129" i="1"/>
  <c r="AI129" i="1" s="1"/>
  <c r="AH129" i="1"/>
  <c r="AG141" i="1"/>
  <c r="AI141" i="1" s="1"/>
  <c r="AG153" i="1"/>
  <c r="AI153" i="1" s="1"/>
  <c r="AH153" i="1"/>
  <c r="AG165" i="1"/>
  <c r="AI165" i="1" s="1"/>
  <c r="AH165" i="1"/>
  <c r="AH50" i="1"/>
  <c r="AG50" i="1"/>
  <c r="AI50" i="1" s="1"/>
  <c r="AG8" i="1"/>
  <c r="AI8" i="1" s="1"/>
  <c r="AH8" i="1"/>
  <c r="AG116" i="1"/>
  <c r="AI116" i="1" s="1"/>
  <c r="AG34" i="1"/>
  <c r="AI34" i="1" s="1"/>
  <c r="AH34" i="1"/>
  <c r="AG46" i="1"/>
  <c r="AI46" i="1" s="1"/>
  <c r="AH46" i="1"/>
  <c r="AG58" i="1"/>
  <c r="AI58" i="1" s="1"/>
  <c r="AH58" i="1"/>
  <c r="AG70" i="1"/>
  <c r="AI70" i="1" s="1"/>
  <c r="AH70" i="1"/>
  <c r="AG82" i="1"/>
  <c r="AI82" i="1" s="1"/>
  <c r="AH82" i="1"/>
  <c r="AG94" i="1"/>
  <c r="AI94" i="1" s="1"/>
  <c r="AH94" i="1"/>
  <c r="AG106" i="1"/>
  <c r="AI106" i="1" s="1"/>
  <c r="AH106" i="1"/>
  <c r="AG118" i="1"/>
  <c r="AI118" i="1" s="1"/>
  <c r="AH118" i="1"/>
  <c r="AG130" i="1"/>
  <c r="AI130" i="1" s="1"/>
  <c r="AH130" i="1"/>
  <c r="AG142" i="1"/>
  <c r="AI142" i="1" s="1"/>
  <c r="AG154" i="1"/>
  <c r="AI154" i="1" s="1"/>
  <c r="AH154" i="1"/>
  <c r="AG166" i="1"/>
  <c r="AI166" i="1" s="1"/>
  <c r="AH166" i="1"/>
  <c r="AH98" i="1"/>
  <c r="AG98" i="1"/>
  <c r="AI98" i="1" s="1"/>
  <c r="AG32" i="1"/>
  <c r="AI32" i="1" s="1"/>
  <c r="AH32" i="1"/>
  <c r="AG92" i="1"/>
  <c r="AI92" i="1" s="1"/>
  <c r="AH92" i="1"/>
  <c r="AG22" i="1"/>
  <c r="AI22" i="1" s="1"/>
  <c r="AH22" i="1"/>
  <c r="AG11" i="1"/>
  <c r="AI11" i="1" s="1"/>
  <c r="AH11" i="1"/>
  <c r="AG23" i="1"/>
  <c r="AI23" i="1" s="1"/>
  <c r="AH23" i="1"/>
  <c r="AG35" i="1"/>
  <c r="AI35" i="1" s="1"/>
  <c r="AH35" i="1"/>
  <c r="AG47" i="1"/>
  <c r="AI47" i="1" s="1"/>
  <c r="AH47" i="1"/>
  <c r="AG59" i="1"/>
  <c r="AI59" i="1" s="1"/>
  <c r="AH59" i="1"/>
  <c r="AG71" i="1"/>
  <c r="AI71" i="1" s="1"/>
  <c r="AH71" i="1"/>
  <c r="AG83" i="1"/>
  <c r="AI83" i="1" s="1"/>
  <c r="AH83" i="1"/>
  <c r="AG95" i="1"/>
  <c r="AI95" i="1" s="1"/>
  <c r="AH95" i="1"/>
  <c r="AG107" i="1"/>
  <c r="AI107" i="1" s="1"/>
  <c r="AH107" i="1"/>
  <c r="AG119" i="1"/>
  <c r="AI119" i="1" s="1"/>
  <c r="AG131" i="1"/>
  <c r="AI131" i="1" s="1"/>
  <c r="AH131" i="1"/>
  <c r="AG143" i="1"/>
  <c r="AI143" i="1" s="1"/>
  <c r="AG155" i="1"/>
  <c r="AI155" i="1" s="1"/>
  <c r="AH155" i="1"/>
  <c r="AH38" i="1"/>
  <c r="AG38" i="1"/>
  <c r="AI38" i="1" s="1"/>
  <c r="AH74" i="1"/>
  <c r="AG74" i="1"/>
  <c r="AI74" i="1" s="1"/>
  <c r="AG20" i="1"/>
  <c r="AI20" i="1" s="1"/>
  <c r="AH20" i="1"/>
  <c r="AG104" i="1"/>
  <c r="AI104" i="1" s="1"/>
  <c r="AH104" i="1"/>
  <c r="AG10" i="1"/>
  <c r="AI10" i="1" s="1"/>
  <c r="AH10" i="1"/>
  <c r="AH12" i="1"/>
  <c r="AG12" i="1"/>
  <c r="AH24" i="1"/>
  <c r="AG24" i="1"/>
  <c r="AI24" i="1" s="1"/>
  <c r="AG36" i="1"/>
  <c r="AI36" i="1" s="1"/>
  <c r="AH48" i="1"/>
  <c r="AG48" i="1"/>
  <c r="AI48" i="1" s="1"/>
  <c r="AH60" i="1"/>
  <c r="AG60" i="1"/>
  <c r="AI60" i="1" s="1"/>
  <c r="AG72" i="1"/>
  <c r="AI72" i="1" s="1"/>
  <c r="AH84" i="1"/>
  <c r="AG84" i="1"/>
  <c r="AI84" i="1" s="1"/>
  <c r="AH96" i="1"/>
  <c r="AG96" i="1"/>
  <c r="AI96" i="1" s="1"/>
  <c r="AG108" i="1"/>
  <c r="AI108" i="1" s="1"/>
  <c r="AH120" i="1"/>
  <c r="AG120" i="1"/>
  <c r="AI120" i="1" s="1"/>
  <c r="AH132" i="1"/>
  <c r="AG132" i="1"/>
  <c r="AI132" i="1" s="1"/>
  <c r="AH144" i="1"/>
  <c r="AG144" i="1"/>
  <c r="AI144" i="1" s="1"/>
  <c r="AH156" i="1"/>
  <c r="AG156" i="1"/>
  <c r="AI156" i="1" s="1"/>
  <c r="AG26" i="1"/>
  <c r="AI26" i="1" s="1"/>
  <c r="AH86" i="1"/>
  <c r="AG86" i="1"/>
  <c r="AI86" i="1" s="1"/>
  <c r="AG56" i="1"/>
  <c r="AI56" i="1" s="1"/>
  <c r="AH56" i="1"/>
  <c r="AG68" i="1"/>
  <c r="AI68" i="1" s="1"/>
  <c r="AH68" i="1"/>
  <c r="AG21" i="1"/>
  <c r="AI21" i="1" s="1"/>
  <c r="AH21" i="1"/>
  <c r="AH13" i="1"/>
  <c r="AG13" i="1"/>
  <c r="AI13" i="1" s="1"/>
  <c r="AH25" i="1"/>
  <c r="AG25" i="1"/>
  <c r="AI25" i="1" s="1"/>
  <c r="AH37" i="1"/>
  <c r="AG37" i="1"/>
  <c r="AI37" i="1" s="1"/>
  <c r="AH49" i="1"/>
  <c r="AG49" i="1"/>
  <c r="AI49" i="1" s="1"/>
  <c r="AH61" i="1"/>
  <c r="AG61" i="1"/>
  <c r="AI61" i="1" s="1"/>
  <c r="AG73" i="1"/>
  <c r="AI73" i="1" s="1"/>
  <c r="AH85" i="1"/>
  <c r="AG85" i="1"/>
  <c r="AI85" i="1" s="1"/>
  <c r="AH97" i="1"/>
  <c r="AG97" i="1"/>
  <c r="AI97" i="1" s="1"/>
  <c r="AG109" i="1"/>
  <c r="AI109" i="1" s="1"/>
  <c r="AH121" i="1"/>
  <c r="AG121" i="1"/>
  <c r="AI121" i="1" s="1"/>
  <c r="AH133" i="1"/>
  <c r="AG133" i="1"/>
  <c r="AI133" i="1" s="1"/>
  <c r="AH145" i="1"/>
  <c r="AG145" i="1"/>
  <c r="AI145" i="1" s="1"/>
  <c r="AH157" i="1"/>
  <c r="AG157" i="1"/>
  <c r="AI157" i="1" s="1"/>
  <c r="AJ43" i="28" l="1"/>
  <c r="AJ27" i="28"/>
  <c r="AJ21" i="28"/>
  <c r="AJ15" i="28"/>
  <c r="AJ49" i="28"/>
  <c r="AJ19" i="28"/>
  <c r="AJ40" i="28"/>
  <c r="AJ50" i="28"/>
  <c r="AJ32" i="28"/>
  <c r="AJ52" i="28"/>
  <c r="AJ14" i="28"/>
  <c r="AJ30" i="28"/>
  <c r="AJ36" i="28"/>
  <c r="AJ44" i="28"/>
  <c r="AJ20" i="28"/>
  <c r="AJ53" i="28"/>
  <c r="AJ22" i="28"/>
  <c r="AJ26" i="28"/>
  <c r="AJ35" i="28"/>
  <c r="AJ16" i="28"/>
  <c r="AJ47" i="28"/>
  <c r="AJ23" i="28"/>
  <c r="AJ18" i="28"/>
  <c r="AJ24" i="28"/>
  <c r="AJ48" i="28"/>
  <c r="AJ45" i="28"/>
  <c r="AJ12" i="28"/>
  <c r="AJ31" i="28"/>
  <c r="AJ38" i="28"/>
  <c r="AJ41" i="28"/>
  <c r="AJ29" i="28"/>
  <c r="AJ28" i="28"/>
  <c r="AJ39" i="28"/>
  <c r="AJ42" i="28"/>
  <c r="AJ37" i="28"/>
  <c r="AJ13" i="28"/>
  <c r="AJ17" i="28"/>
  <c r="AJ34" i="28"/>
  <c r="AJ51" i="28"/>
  <c r="AJ33" i="28"/>
  <c r="AJ10" i="28"/>
  <c r="B12" i="35"/>
  <c r="C9" i="42" s="1"/>
  <c r="I9" i="42" s="1"/>
  <c r="B16" i="35"/>
  <c r="C13" i="42" s="1"/>
  <c r="I13" i="42" s="1"/>
  <c r="AF4" i="1"/>
  <c r="B18" i="35"/>
  <c r="C15" i="42" s="1"/>
  <c r="I15" i="42" s="1"/>
  <c r="B17" i="35"/>
  <c r="C14" i="42" s="1"/>
  <c r="I14" i="42" s="1"/>
  <c r="AI12" i="1"/>
  <c r="AI4" i="1" s="1"/>
  <c r="AG4" i="1"/>
  <c r="AH4" i="1"/>
  <c r="B10" i="35"/>
  <c r="C7" i="42" s="1"/>
  <c r="I7" i="42" s="1"/>
  <c r="B19" i="35"/>
  <c r="C16" i="42" s="1"/>
  <c r="I16" i="42" s="1"/>
  <c r="B8" i="35"/>
  <c r="C5" i="42" s="1"/>
  <c r="I5" i="42" s="1"/>
  <c r="B14" i="35"/>
  <c r="C11" i="42" s="1"/>
  <c r="I11" i="42" s="1"/>
  <c r="B9" i="35"/>
  <c r="C6" i="42" s="1"/>
  <c r="I6" i="42" s="1"/>
  <c r="B13" i="35"/>
  <c r="C10" i="42" s="1"/>
  <c r="I10" i="42" s="1"/>
  <c r="B11" i="35"/>
  <c r="C8" i="42" s="1"/>
  <c r="I8" i="42" s="1"/>
  <c r="AH55" i="28"/>
  <c r="AJ59" i="28" s="1"/>
  <c r="B20" i="35"/>
  <c r="C17" i="42" s="1"/>
  <c r="I17" i="42" s="1"/>
  <c r="K6" i="28"/>
  <c r="B15" i="35"/>
  <c r="C12" i="42" s="1"/>
  <c r="I12" i="42" s="1"/>
  <c r="F24" i="35"/>
  <c r="I20" i="42" l="1"/>
  <c r="C18" i="42"/>
  <c r="I18" i="42" s="1"/>
  <c r="I22" i="42" s="1"/>
  <c r="C20" i="42"/>
  <c r="AJ56" i="28"/>
  <c r="AJ57" i="28"/>
  <c r="AJ55" i="28"/>
  <c r="AJ58" i="28"/>
  <c r="AI50" i="28"/>
  <c r="AI39" i="28"/>
  <c r="AI47" i="28"/>
  <c r="AI40" i="28"/>
  <c r="AI42" i="28"/>
  <c r="AI23" i="28"/>
  <c r="AI53" i="28"/>
  <c r="AI28" i="28"/>
  <c r="AI43" i="28"/>
  <c r="AI49" i="28"/>
  <c r="AI41" i="28"/>
  <c r="AI35" i="28"/>
  <c r="AI29" i="28"/>
  <c r="AI57" i="28"/>
  <c r="AI26" i="28"/>
  <c r="AI19" i="28"/>
  <c r="AI38" i="28"/>
  <c r="AI46" i="28"/>
  <c r="AI59" i="28"/>
  <c r="AI31" i="28"/>
  <c r="AI22" i="28"/>
  <c r="AI21" i="28"/>
  <c r="AI27" i="28"/>
  <c r="AI20" i="28"/>
  <c r="AI52" i="28"/>
  <c r="AI33" i="28"/>
  <c r="AI45" i="28"/>
  <c r="AI44" i="28"/>
  <c r="AI32" i="28"/>
  <c r="AI51" i="28"/>
  <c r="AI48" i="28"/>
  <c r="AI54" i="28"/>
  <c r="AI10" i="28"/>
  <c r="AI55" i="28"/>
  <c r="AI34" i="28"/>
  <c r="AI24" i="28"/>
  <c r="AI36" i="28"/>
  <c r="AI25" i="28"/>
  <c r="AI37" i="28"/>
  <c r="AI56" i="28"/>
  <c r="AI30" i="28"/>
  <c r="AI58" i="28"/>
  <c r="AI14" i="28"/>
  <c r="AI18" i="28"/>
  <c r="AI16" i="28"/>
  <c r="AI17" i="28"/>
  <c r="AI13" i="28"/>
  <c r="AI12" i="28"/>
  <c r="AI15" i="28"/>
  <c r="AI11" i="28"/>
  <c r="B24" i="35"/>
  <c r="I23" i="42" l="1"/>
  <c r="M20" i="42" s="1"/>
  <c r="H9" i="35"/>
  <c r="H13" i="35"/>
  <c r="H12" i="35"/>
  <c r="H10" i="35"/>
  <c r="H22" i="35"/>
  <c r="H17" i="35"/>
  <c r="H8" i="35"/>
  <c r="K7" i="42" l="1"/>
  <c r="K9" i="42"/>
  <c r="K11" i="42"/>
  <c r="K10" i="42"/>
  <c r="K12" i="42"/>
  <c r="K13" i="42"/>
  <c r="K15" i="42"/>
  <c r="K17" i="42"/>
  <c r="K20" i="42"/>
  <c r="M15" i="42"/>
  <c r="M17" i="42"/>
  <c r="M12" i="42"/>
  <c r="M10" i="42"/>
  <c r="M13" i="42"/>
  <c r="M9" i="42"/>
  <c r="M11" i="42"/>
  <c r="M5" i="42"/>
  <c r="M7" i="42"/>
  <c r="K5" i="42"/>
  <c r="J32" i="37"/>
  <c r="K32" i="37"/>
  <c r="B15" i="38" s="1"/>
  <c r="J35" i="37"/>
  <c r="K35" i="37"/>
  <c r="B18" i="38" s="1"/>
  <c r="J38" i="37"/>
  <c r="K38" i="37"/>
  <c r="B21" i="38" s="1"/>
  <c r="J39" i="37"/>
  <c r="K39" i="37"/>
  <c r="B22" i="38" s="1"/>
  <c r="J40" i="37"/>
  <c r="K40" i="37"/>
  <c r="B23" i="38" s="1"/>
  <c r="J36" i="37"/>
  <c r="K36" i="37"/>
  <c r="B19" i="38" s="1"/>
  <c r="H18" i="35"/>
  <c r="H21" i="35"/>
  <c r="H11" i="35"/>
  <c r="H19" i="35"/>
  <c r="H20" i="35"/>
  <c r="H23" i="35"/>
  <c r="H15" i="35"/>
  <c r="H16" i="35"/>
  <c r="C24" i="35"/>
  <c r="H14" i="35"/>
  <c r="E24" i="35"/>
  <c r="K22" i="42" l="1"/>
  <c r="M22" i="42"/>
  <c r="G23" i="38"/>
  <c r="F23" i="38"/>
  <c r="G22" i="38"/>
  <c r="F22" i="38"/>
  <c r="G21" i="38"/>
  <c r="F21" i="38"/>
  <c r="G19" i="38"/>
  <c r="F19" i="38"/>
  <c r="G18" i="38"/>
  <c r="F18" i="38"/>
  <c r="G15" i="38"/>
  <c r="F15" i="38"/>
  <c r="J33" i="37"/>
  <c r="K33" i="37"/>
  <c r="B16" i="38" s="1"/>
  <c r="J43" i="37"/>
  <c r="K43" i="37"/>
  <c r="B26" i="38" s="1"/>
  <c r="J41" i="37"/>
  <c r="K41" i="37"/>
  <c r="B24" i="38" s="1"/>
  <c r="J42" i="37"/>
  <c r="K42" i="37"/>
  <c r="B25" i="38" s="1"/>
  <c r="J37" i="37"/>
  <c r="K37" i="37"/>
  <c r="B20" i="38" s="1"/>
  <c r="J34" i="37"/>
  <c r="K34" i="37"/>
  <c r="B17" i="38" s="1"/>
  <c r="J31" i="37"/>
  <c r="K31" i="37"/>
  <c r="B14" i="38" s="1"/>
  <c r="H24" i="35"/>
  <c r="O24" i="35" s="1"/>
  <c r="P24" i="35" l="1"/>
  <c r="K24" i="35"/>
  <c r="G25" i="38"/>
  <c r="F25" i="38"/>
  <c r="G20" i="38"/>
  <c r="F20" i="38"/>
  <c r="F24" i="38"/>
  <c r="G24" i="38"/>
  <c r="G26" i="38"/>
  <c r="F26" i="38"/>
  <c r="G17" i="38"/>
  <c r="F17" i="38"/>
  <c r="F16" i="38"/>
  <c r="G16" i="38"/>
  <c r="F14" i="38"/>
  <c r="G14" i="38"/>
  <c r="B27" i="38"/>
  <c r="F35" i="38" s="1"/>
  <c r="H35" i="38" s="1"/>
  <c r="K44" i="37"/>
  <c r="F51" i="37" s="1"/>
  <c r="J44" i="37"/>
  <c r="L24" i="35"/>
  <c r="P36" i="37" l="1"/>
  <c r="Q36" i="37" s="1"/>
  <c r="R36" i="37" s="1"/>
  <c r="F49" i="37"/>
  <c r="G27" i="38"/>
  <c r="H31" i="38" s="1"/>
  <c r="F33" i="38"/>
  <c r="F34" i="38"/>
  <c r="F37" i="38" s="1"/>
  <c r="F31" i="38"/>
  <c r="F32" i="38"/>
  <c r="F27" i="38"/>
  <c r="H34" i="38" s="1"/>
  <c r="P34" i="37"/>
  <c r="Q34" i="37" s="1"/>
  <c r="R34" i="37" s="1"/>
  <c r="P44" i="37"/>
  <c r="P32" i="37"/>
  <c r="Q32" i="37" s="1"/>
  <c r="R32" i="37" s="1"/>
  <c r="P40" i="37"/>
  <c r="Q40" i="37" s="1"/>
  <c r="R40" i="37" s="1"/>
  <c r="P42" i="37"/>
  <c r="Q42" i="37" s="1"/>
  <c r="R42" i="37" s="1"/>
  <c r="P38" i="37"/>
  <c r="Q38" i="37" s="1"/>
  <c r="R38" i="37" s="1"/>
  <c r="P43" i="37"/>
  <c r="Q43" i="37" s="1"/>
  <c r="R43" i="37" s="1"/>
  <c r="J46" i="37"/>
  <c r="R49" i="37"/>
  <c r="P39" i="37"/>
  <c r="Q39" i="37" s="1"/>
  <c r="R39" i="37" s="1"/>
  <c r="P31" i="37"/>
  <c r="Q31" i="37" s="1"/>
  <c r="R31" i="37" s="1"/>
  <c r="P35" i="37"/>
  <c r="Q35" i="37" s="1"/>
  <c r="R35" i="37" s="1"/>
  <c r="P41" i="37"/>
  <c r="Q41" i="37" s="1"/>
  <c r="R41" i="37" s="1"/>
  <c r="P37" i="37"/>
  <c r="Q37" i="37" s="1"/>
  <c r="R37" i="37" s="1"/>
  <c r="P33" i="37"/>
  <c r="Q33" i="37" s="1"/>
  <c r="R33" i="37" s="1"/>
  <c r="F53" i="37" l="1"/>
  <c r="H51" i="37" s="1"/>
  <c r="H49" i="37" s="1"/>
  <c r="F56" i="37"/>
  <c r="H33" i="38"/>
  <c r="H32" i="38"/>
  <c r="Q44" i="37"/>
  <c r="L18" i="38" l="1"/>
  <c r="K18" i="38" s="1"/>
  <c r="L19" i="38"/>
  <c r="K19" i="38" s="1"/>
  <c r="L21" i="38"/>
  <c r="K21" i="38" s="1"/>
  <c r="L15" i="38"/>
  <c r="K15" i="38" s="1"/>
  <c r="L22" i="38"/>
  <c r="K22" i="38" s="1"/>
  <c r="L23" i="38"/>
  <c r="K23" i="38" s="1"/>
  <c r="L20" i="38"/>
  <c r="K20" i="38" s="1"/>
  <c r="L25" i="38"/>
  <c r="K25" i="38" s="1"/>
  <c r="L16" i="38"/>
  <c r="K16" i="38" s="1"/>
  <c r="L17" i="38"/>
  <c r="K17" i="38" s="1"/>
  <c r="L26" i="38"/>
  <c r="K26" i="38" s="1"/>
  <c r="L24" i="38"/>
  <c r="K24" i="38" s="1"/>
  <c r="L14" i="38"/>
  <c r="K14" i="38" s="1"/>
  <c r="R44" i="37"/>
  <c r="R50" i="37"/>
  <c r="R52" i="37" s="1"/>
  <c r="S49" i="37" s="1"/>
  <c r="L27" i="38" l="1"/>
  <c r="K27" i="3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Bealer, Blythe E</author>
  </authors>
  <commentList>
    <comment ref="P7" authorId="0" shapeId="0" xr:uid="{965B5C1E-2BDD-4D03-8361-4150745E8FFC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count in above line so don't weight too heavy</t>
        </r>
      </text>
    </comment>
    <comment ref="P12" authorId="0" shapeId="0" xr:uid="{2B7F65CE-79CC-4D47-879C-A7A0E7DCEC5F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count in above line so don't weight too heavy</t>
        </r>
      </text>
    </comment>
    <comment ref="P19" authorId="0" shapeId="0" xr:uid="{D9F8EF7A-552F-4434-B280-0E4DCDCD61EC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count in above line so don't weight too heavy</t>
        </r>
      </text>
    </comment>
    <comment ref="N21" authorId="0" shapeId="0" xr:uid="{8DE577E4-6298-4F92-8086-BD835E3B4139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earliest launch I see is 2025;
has own mcode could label as tumor; since it's prio is BASE label as indication; assigns less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Bealer, Blythe E</author>
  </authors>
  <commentList>
    <comment ref="B24" authorId="0" shapeId="0" xr:uid="{66C0511C-30C6-4846-ACF2-F61CF9FC8738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kept flat from last year</t>
        </r>
      </text>
    </comment>
    <comment ref="B25" authorId="0" shapeId="0" xr:uid="{A00B12B6-A573-424F-890F-409D74C299DC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kept flat from last year</t>
        </r>
      </text>
    </comment>
    <comment ref="B26" authorId="0" shapeId="0" xr:uid="{E4E9D012-BF7D-473D-99DC-41F2DCCD6AA0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kept flat from last year</t>
        </r>
      </text>
    </comment>
    <comment ref="B27" authorId="0" shapeId="0" xr:uid="{40A528BB-4D2D-4725-BE1B-586E64DE9FD1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kept flat from last year</t>
        </r>
      </text>
    </comment>
    <comment ref="B28" authorId="0" shapeId="0" xr:uid="{46D49DC3-34D4-451B-B967-1576077A4C0F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kept flat from last year</t>
        </r>
      </text>
    </comment>
    <comment ref="B29" authorId="0" shapeId="0" xr:uid="{ECBB6DCD-ECAC-4010-841D-4C26A49D2CEE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kept flat from last year</t>
        </r>
      </text>
    </comment>
    <comment ref="B30" authorId="0" shapeId="0" xr:uid="{AB49FFA8-71E3-47D0-BE67-EF53FD7D1244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kept flat from last year</t>
        </r>
      </text>
    </comment>
    <comment ref="C34" authorId="0" shapeId="0" xr:uid="{97FD649B-68C3-4FF6-A071-D3656EDD5DC7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7/12/23 Deb decreased Keytruda budget by $1M to go to non-modeled OCAR in step 1; informed thru IM chat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Banduri, Avijit</author>
    <author>Bealer, Blythe E</author>
  </authors>
  <commentList>
    <comment ref="E20" authorId="0" shapeId="0" xr:uid="{E1CF05BB-ABA5-41B8-A7B8-3A265257173D}">
      <text>
        <r>
          <rPr>
            <b/>
            <sz val="9"/>
            <color indexed="81"/>
            <rFont val="Tahoma"/>
            <family val="2"/>
          </rPr>
          <t>Banduri, Avijit:</t>
        </r>
        <r>
          <rPr>
            <sz val="9"/>
            <color indexed="81"/>
            <rFont val="Tahoma"/>
            <family val="2"/>
          </rPr>
          <t xml:space="preserve">
All TBD are substituted by Low
</t>
        </r>
      </text>
    </comment>
    <comment ref="F20" authorId="0" shapeId="0" xr:uid="{CEB0F486-CC7C-4361-A107-0019CC5D58F2}">
      <text>
        <r>
          <rPr>
            <b/>
            <sz val="9"/>
            <color indexed="81"/>
            <rFont val="Tahoma"/>
            <family val="2"/>
          </rPr>
          <t>Banduri, Avijit:</t>
        </r>
        <r>
          <rPr>
            <sz val="9"/>
            <color indexed="81"/>
            <rFont val="Tahoma"/>
            <family val="2"/>
          </rPr>
          <t xml:space="preserve">
All Base is converetd to Low
</t>
        </r>
      </text>
    </comment>
    <comment ref="G20" authorId="0" shapeId="0" xr:uid="{8C43A530-731D-4471-AD2D-3D145126287F}">
      <text>
        <r>
          <rPr>
            <b/>
            <sz val="9"/>
            <color indexed="81"/>
            <rFont val="Tahoma"/>
            <family val="2"/>
          </rPr>
          <t>Banduri, Avijit:</t>
        </r>
        <r>
          <rPr>
            <sz val="9"/>
            <color indexed="81"/>
            <rFont val="Tahoma"/>
            <family val="2"/>
          </rPr>
          <t xml:space="preserve">
High: 1.5
Medium: 1
Low: 0.5</t>
        </r>
      </text>
    </comment>
    <comment ref="H20" authorId="0" shapeId="0" xr:uid="{6CA8668B-4A13-4FFF-AB9A-9CB8497E55D1}">
      <text>
        <r>
          <rPr>
            <b/>
            <sz val="9"/>
            <color indexed="81"/>
            <rFont val="Tahoma"/>
            <family val="2"/>
          </rPr>
          <t>Banduri, Avijit:</t>
        </r>
        <r>
          <rPr>
            <sz val="9"/>
            <color indexed="81"/>
            <rFont val="Tahoma"/>
            <family val="2"/>
          </rPr>
          <t xml:space="preserve">
New Indication is checked as pe 2024 launch and Nov &amp; Dec'23 Launch
</t>
        </r>
      </text>
    </comment>
    <comment ref="I20" authorId="0" shapeId="0" xr:uid="{80A15E1B-0667-426E-90AE-54F4FF1716FE}">
      <text>
        <r>
          <rPr>
            <b/>
            <sz val="9"/>
            <color indexed="81"/>
            <rFont val="Tahoma"/>
            <family val="2"/>
          </rPr>
          <t>Banduri, Avijit:</t>
        </r>
        <r>
          <rPr>
            <sz val="9"/>
            <color indexed="81"/>
            <rFont val="Tahoma"/>
            <family val="2"/>
          </rPr>
          <t xml:space="preserve">
New Indication has been assigned 0.5 weight
</t>
        </r>
      </text>
    </comment>
    <comment ref="K20" authorId="0" shapeId="0" xr:uid="{E85E8DB0-CC84-4184-882A-1FADDF445633}">
      <text>
        <r>
          <rPr>
            <b/>
            <sz val="9"/>
            <color indexed="81"/>
            <rFont val="Tahoma"/>
            <family val="2"/>
          </rPr>
          <t>Banduri, Avijit:</t>
        </r>
        <r>
          <rPr>
            <sz val="9"/>
            <color indexed="81"/>
            <rFont val="Tahoma"/>
            <family val="2"/>
          </rPr>
          <t xml:space="preserve">
New Tumor is given a weightage of 1</t>
        </r>
      </text>
    </comment>
    <comment ref="L20" authorId="0" shapeId="0" xr:uid="{B9F227F7-1D13-406C-A743-05496AEFE2F7}">
      <text>
        <r>
          <rPr>
            <b/>
            <sz val="9"/>
            <color indexed="81"/>
            <rFont val="Tahoma"/>
            <family val="2"/>
          </rPr>
          <t>Banduri, Avijit:</t>
        </r>
        <r>
          <rPr>
            <sz val="9"/>
            <color indexed="81"/>
            <rFont val="Tahoma"/>
            <family val="2"/>
          </rPr>
          <t xml:space="preserve">
Priority Value ( #Ind x weight + #Tumor x weight)</t>
        </r>
      </text>
    </comment>
    <comment ref="M20" authorId="1" shapeId="0" xr:uid="{492CE100-F6D7-4638-9C4B-B5D2BED4281C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3= High (1st position) 2= Medium (2nd pos) 1= Low (3rd pos or strike force</t>
        </r>
      </text>
    </comment>
    <comment ref="N20" authorId="1" shapeId="0" xr:uid="{2F1D2BAE-04CD-4345-B1D8-DF301A4D3D6E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2= high
1=medium
0=low</t>
        </r>
      </text>
    </comment>
    <comment ref="O20" authorId="0" shapeId="0" xr:uid="{B3D4DCB7-3813-4AF1-A9E7-854B3813C162}">
      <text>
        <r>
          <rPr>
            <b/>
            <sz val="9"/>
            <color indexed="81"/>
            <rFont val="Tahoma"/>
            <family val="2"/>
          </rPr>
          <t>Banduri, Avijit:</t>
        </r>
        <r>
          <rPr>
            <sz val="9"/>
            <color indexed="81"/>
            <rFont val="Tahoma"/>
            <family val="2"/>
          </rPr>
          <t xml:space="preserve">
Competitive normalized by the count of #MCODE
Blythe7/14/23 - remove and use fuzzy logic</t>
        </r>
      </text>
    </comment>
    <comment ref="P20" authorId="1" shapeId="0" xr:uid="{510CB048-18B0-4FE7-BEB0-CF6794BC6850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0= base / med onc
1, 2 are incremental cust segs</t>
        </r>
      </text>
    </comment>
    <comment ref="Q20" authorId="0" shapeId="0" xr:uid="{7A5F142F-1C33-46E4-8AE1-A38FC2190670}">
      <text>
        <r>
          <rPr>
            <b/>
            <sz val="9"/>
            <color indexed="81"/>
            <rFont val="Tahoma"/>
            <family val="2"/>
          </rPr>
          <t>Banduri, Avijit:</t>
        </r>
        <r>
          <rPr>
            <sz val="9"/>
            <color indexed="81"/>
            <rFont val="Tahoma"/>
            <family val="2"/>
          </rPr>
          <t xml:space="preserve">
Unique customer segment normalized by #MCODE
Blythe 7/14/23 remove and use fuzzy logic</t>
        </r>
      </text>
    </comment>
    <comment ref="R20" authorId="1" shapeId="0" xr:uid="{CC47808F-23F9-4707-A047-CBE4B8420342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# of unique customers</t>
        </r>
      </text>
    </comment>
    <comment ref="F39" authorId="1" shapeId="0" xr:uid="{E9D805A1-037D-485B-822E-59F1A331374E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changed 7/17 per Deb from Medium to High</t>
        </r>
      </text>
    </comment>
    <comment ref="H51" authorId="1" shapeId="0" xr:uid="{C5949574-37BD-4ABD-9ED6-871E6CF57F94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had 1 on each reocrd - too much; only put on record w/ planning year
</t>
        </r>
      </text>
    </comment>
    <comment ref="H70" authorId="1" shapeId="0" xr:uid="{40E4F5D6-BC4D-4E84-A280-6F5C953A3684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had 1 on each reocrd - too much; only put on record w/ planning year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Bealer, Blythe E</author>
  </authors>
  <commentList>
    <comment ref="G7" authorId="0" shapeId="0" xr:uid="{D58EDA7A-999B-403F-B2F9-86F5EB5F3AD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1= data available &amp; used at tumor code level</t>
        </r>
      </text>
    </comment>
    <comment ref="AD9" authorId="1" shapeId="0" xr:uid="{F71BDA11-668F-4263-9C66-68655D39230E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weight by mcode</t>
        </r>
      </text>
    </comment>
    <comment ref="AD32" authorId="1" shapeId="0" xr:uid="{5DE1D018-01B6-4005-9536-1DE071849E77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decide to treat as individual tumors not one tumor/mcode; one mcode for mkt convenience not because lower priority; as one "tumor" underestiamtes largely compared to last year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Bealer, Blythe E</author>
  </authors>
  <commentList>
    <comment ref="F29" authorId="0" shapeId="0" xr:uid="{4469C1EA-F3EA-45B7-81CD-BABBE2604AC4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incl creative &amp; Media</t>
        </r>
      </text>
    </comment>
    <comment ref="D31" authorId="0" shapeId="0" xr:uid="{0284D3BC-28A9-411E-8A8F-1C375A77B062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$270K for UC &amp; NMIBC; split using HCP tumor mcode distribution</t>
        </r>
      </text>
    </comment>
    <comment ref="E31" authorId="0" shapeId="0" xr:uid="{F3476B7B-D874-4FD9-A758-12E144792570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$275K for UC &amp; NMIBC; split using HCP tumor mcode distribution</t>
        </r>
      </text>
    </comment>
    <comment ref="D32" authorId="0" shapeId="0" xr:uid="{63DBDDE7-3756-4A9C-A5CC-20CFD4A1A526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$270K for UC &amp; NMIBC; split using HCP tumor mcode distribution</t>
        </r>
      </text>
    </comment>
    <comment ref="E32" authorId="0" shapeId="0" xr:uid="{3DE8F399-86E9-424A-AC33-39676E43FB83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$275K for UC &amp; NMIBC; split using HCP tumor mcode distribution</t>
        </r>
      </text>
    </comment>
    <comment ref="D37" authorId="0" shapeId="0" xr:uid="{89C305B2-26AA-40F8-8117-5157F8D41E0D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$540K for Lung and H&amp;N; split using HCP tumor mcode distribution</t>
        </r>
      </text>
    </comment>
    <comment ref="D39" authorId="0" shapeId="0" xr:uid="{ABDC0C6A-BD28-4102-9118-03D1FE732E8D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$540K for Lung and H&amp;N; split using HCP tumor mcode distribution</t>
        </r>
      </text>
    </comment>
    <comment ref="C48" authorId="0" shapeId="0" xr:uid="{0A42394C-6F5C-4B41-BCF0-C057D1A146BE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exclude as part of non-model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Bealer, Blythe E</author>
  </authors>
  <commentList>
    <comment ref="G32" authorId="0" shapeId="0" xr:uid="{77269BFF-CEE1-4800-9993-61097B609E7A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historical is pre-launch; not best proxy</t>
        </r>
      </text>
    </comment>
    <comment ref="H32" authorId="0" shapeId="0" xr:uid="{91110649-FA52-4C7C-8737-CE1CFC24CCD0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historical is prelaunch and not good proxiy</t>
        </r>
      </text>
    </comment>
    <comment ref="C36" authorId="0" shapeId="0" xr:uid="{BAEC1838-BBFB-4E8F-8EC9-0005338746A3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use Ovarian &amp; Gyn which is total gyn (incl Endo, Ovarian &amp; Cervical)</t>
        </r>
      </text>
    </comment>
    <comment ref="C37" authorId="0" shapeId="0" xr:uid="{DD4F2E46-EBC2-46D4-97AA-EFC5EAC594A1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use Ovarian &amp; Gyn which is total gyn (incl Endo, Ovarian &amp; Cervical)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Bealer, Blythe E</author>
  </authors>
  <commentList>
    <comment ref="G13" authorId="0" shapeId="0" xr:uid="{493153CB-93B9-4C8E-92B4-C022C243D018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remove MMF before share as tumor mcode</t>
        </r>
      </text>
    </comment>
    <comment ref="E15" authorId="0" shapeId="0" xr:uid="{AE0D40E8-3DF1-427C-97BD-27CF796EFCBB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launch 1/25, 8/25, 11/25</t>
        </r>
      </text>
    </comment>
    <comment ref="D19" authorId="0" shapeId="0" xr:uid="{42114C32-6700-4F90-AFE5-AB83EDB59A7F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new mcode used mcode ovarian &amp; gyn</t>
        </r>
      </text>
    </comment>
    <comment ref="E19" authorId="0" shapeId="0" xr:uid="{0455392E-2770-4F2B-9CF3-02752CA680DE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new mcode used mcode ovarian &amp; gyn</t>
        </r>
      </text>
    </comment>
    <comment ref="D20" authorId="0" shapeId="0" xr:uid="{BEEEC525-650B-45C5-AB12-880D010191AA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new mcode used mcode ovarian &amp; gyn</t>
        </r>
      </text>
    </comment>
    <comment ref="E20" authorId="0" shapeId="0" xr:uid="{9A687735-012B-4896-A680-4F6DB3EDAD71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new mcode used mcode ovarian &amp; gyn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Bealer, Blythe E</author>
  </authors>
  <commentList>
    <comment ref="J4" authorId="0" shapeId="0" xr:uid="{47E5F7E5-B723-4149-95E2-20523F034A9E}">
      <text>
        <r>
          <rPr>
            <b/>
            <sz val="9"/>
            <color indexed="81"/>
            <rFont val="Tahoma"/>
            <family val="2"/>
          </rPr>
          <t>Bealer, Blythe E:</t>
        </r>
        <r>
          <rPr>
            <sz val="9"/>
            <color indexed="81"/>
            <rFont val="Tahoma"/>
            <family val="2"/>
          </rPr>
          <t xml:space="preserve">
excludes $27M for Prostate &amp; MSS-CRC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<sst xmlns="http://schemas.openxmlformats.org/spreadsheetml/2006/main" count="7494" uniqueCount="1298">
  <si>
    <t>Indication</t>
  </si>
  <si>
    <t>DrugName</t>
  </si>
  <si>
    <t>Line</t>
  </si>
  <si>
    <t>Segment</t>
  </si>
  <si>
    <t>NPS Concatenated for Mapping</t>
  </si>
  <si>
    <t>Finance Mappings</t>
  </si>
  <si>
    <t>Parameter</t>
  </si>
  <si>
    <t>Modeled ToT</t>
  </si>
  <si>
    <t>Launch Date per Forecasting</t>
  </si>
  <si>
    <t>Trial Name (LIT)</t>
  </si>
  <si>
    <t>Launch Flag</t>
  </si>
  <si>
    <t>Lifecycle Factor (as of 1/1/2024)</t>
  </si>
  <si>
    <t>NPS*ToT 2024</t>
  </si>
  <si>
    <t>NPS*ToT 2025</t>
  </si>
  <si>
    <t>NPS*ToT 2026</t>
  </si>
  <si>
    <t>Imp%2024</t>
  </si>
  <si>
    <t>Imp%2025</t>
  </si>
  <si>
    <t>ImpNPS2024</t>
  </si>
  <si>
    <t>ImpNPS2025</t>
  </si>
  <si>
    <t>Weight2024</t>
  </si>
  <si>
    <t>Weight2025</t>
  </si>
  <si>
    <t>Impactable NPS</t>
  </si>
  <si>
    <t>Biliary</t>
  </si>
  <si>
    <t>Keytruda + gem/cis</t>
  </si>
  <si>
    <t>1</t>
  </si>
  <si>
    <t>Untested</t>
  </si>
  <si>
    <t>BiliaryKeytruda + gem/cis1</t>
  </si>
  <si>
    <t>Keytruda - Biliary</t>
  </si>
  <si>
    <t>New patients</t>
  </si>
  <si>
    <t>KN-966</t>
  </si>
  <si>
    <t>Launch (Planning Year)</t>
  </si>
  <si>
    <t>Planning Year</t>
  </si>
  <si>
    <t>-</t>
  </si>
  <si>
    <t>Cervical</t>
  </si>
  <si>
    <t>Keytruda + Chemo + RT</t>
  </si>
  <si>
    <t>Locally Advanced</t>
  </si>
  <si>
    <t>CervicalKeytruda + Chemo + RTLocally Advanced</t>
  </si>
  <si>
    <t xml:space="preserve">KN-A18 </t>
  </si>
  <si>
    <t>Keytruda + chemo +/- Avastin</t>
  </si>
  <si>
    <t>CervicalKeytruda + chemo +/- Avastin1</t>
  </si>
  <si>
    <t xml:space="preserve">KN-826 </t>
  </si>
  <si>
    <t>0 (in-mkt)</t>
  </si>
  <si>
    <t>Established</t>
  </si>
  <si>
    <t>Keytruda</t>
  </si>
  <si>
    <t>2</t>
  </si>
  <si>
    <t>CervicalKeytruda2</t>
  </si>
  <si>
    <t>KN-158</t>
  </si>
  <si>
    <t>Mature</t>
  </si>
  <si>
    <t>CRC</t>
  </si>
  <si>
    <t>Favezelimab/Keytruda</t>
  </si>
  <si>
    <t>3</t>
  </si>
  <si>
    <t>CRCFavezelimab/Keytruda3</t>
  </si>
  <si>
    <t>MK4280A - Pembro + Lag3</t>
  </si>
  <si>
    <t>MK4280A-007</t>
  </si>
  <si>
    <t>CRCKeytruda1</t>
  </si>
  <si>
    <t>Keytruda - 1L MSI-H CRC</t>
  </si>
  <si>
    <t>KN177</t>
  </si>
  <si>
    <t>Mature - Level2</t>
  </si>
  <si>
    <t>CRCKeytruda2</t>
  </si>
  <si>
    <t>Keytruda - 2L+ MSI-H CRC</t>
  </si>
  <si>
    <t>KN158/164</t>
  </si>
  <si>
    <t>CRCKeytruda3</t>
  </si>
  <si>
    <t>cSCC</t>
  </si>
  <si>
    <t>cSCCKeytruda1</t>
  </si>
  <si>
    <t>Keytruda - cSCC</t>
  </si>
  <si>
    <t>KN629</t>
  </si>
  <si>
    <t>cSCCKeytruda2</t>
  </si>
  <si>
    <t>DLBCL</t>
  </si>
  <si>
    <t>Zilovertamab Vedotin</t>
  </si>
  <si>
    <t>DLBCLZilovertamab Vedotin3</t>
  </si>
  <si>
    <t>MK2140 - DLBCL (ROR-1)</t>
  </si>
  <si>
    <t>MK-2140-003</t>
  </si>
  <si>
    <t>Not Available</t>
  </si>
  <si>
    <t>Future Launch</t>
  </si>
  <si>
    <t>Endometrial</t>
  </si>
  <si>
    <t>Keytruda+Chemo</t>
  </si>
  <si>
    <t>EndometrialKeytruda+Chemo1</t>
  </si>
  <si>
    <t>1L Endo Keytruda + Chemo (KN868 P/D)</t>
  </si>
  <si>
    <t>KN868</t>
  </si>
  <si>
    <t>Launch (Current Year)</t>
  </si>
  <si>
    <t>Recent Launch</t>
  </si>
  <si>
    <t>Adjuvant</t>
  </si>
  <si>
    <t>EndometrialKeytruda+ChemoAdjuvant</t>
  </si>
  <si>
    <t>KN-B21</t>
  </si>
  <si>
    <t>Keytruda+Lenvima</t>
  </si>
  <si>
    <t>EndometrialKeytruda+Lenvima1</t>
  </si>
  <si>
    <t>1L/2L Endo Keytruda+Lenvima (LEAP001, KN146, KN775)</t>
  </si>
  <si>
    <t>LEAP-001</t>
  </si>
  <si>
    <t>EndometrialKeytruda+Lenvima2</t>
  </si>
  <si>
    <t>KN775</t>
  </si>
  <si>
    <t>All Sub-Segments</t>
  </si>
  <si>
    <t>EndometrialKeytruda+LenvimaAdjuvant</t>
  </si>
  <si>
    <t>EndometrialKeytruda1</t>
  </si>
  <si>
    <t>1L Endo Keytruda Mono (KN-C93)</t>
  </si>
  <si>
    <t>KN158</t>
  </si>
  <si>
    <t>EndometrialKeytruda2</t>
  </si>
  <si>
    <t>2L Endo Keytruda mono (KN158)</t>
  </si>
  <si>
    <t>EndometrialKeytrudaAdjuvant</t>
  </si>
  <si>
    <t>Later Life</t>
  </si>
  <si>
    <t>Esophageal</t>
  </si>
  <si>
    <t>Keytruda + dCRT</t>
  </si>
  <si>
    <t>EsophagealKeytruda + dCRTLocally Advanced</t>
  </si>
  <si>
    <t>Keytruda + dCRT - Locally Advanced Esoph (KN975)</t>
  </si>
  <si>
    <t>Launch too far or not listed</t>
  </si>
  <si>
    <t xml:space="preserve">Pre-Launch </t>
  </si>
  <si>
    <t>EsophagealKeytruda+Lenvima1</t>
  </si>
  <si>
    <t>Key + Len - 1L Esoph (LEAP014)</t>
  </si>
  <si>
    <t>EsophagealKeytruda1</t>
  </si>
  <si>
    <t>Keytruda - 1L Esoph + Chemo (KN590)</t>
  </si>
  <si>
    <t>EsophagealKeytruda2</t>
  </si>
  <si>
    <t>Keytruda - 2L+ Esoph</t>
  </si>
  <si>
    <t>KN181</t>
  </si>
  <si>
    <t>Neoadjuvant only</t>
  </si>
  <si>
    <t>EsophagealKeytrudaNeoadjuvant only</t>
  </si>
  <si>
    <t>KN585</t>
  </si>
  <si>
    <t>Gastric</t>
  </si>
  <si>
    <t>Keytruda + Lenvima + Chemo</t>
  </si>
  <si>
    <t>GastricKeytruda + Lenvima + Chemo1</t>
  </si>
  <si>
    <t>Key + Len - HER2- Gastric (LEAP015)</t>
  </si>
  <si>
    <t>LEAP015</t>
  </si>
  <si>
    <t>Keytruda+Other Chemo</t>
  </si>
  <si>
    <t>GastricKeytruda+Other Chemo1</t>
  </si>
  <si>
    <t>Keytruda - 1L Gastric HER2- (KN859)</t>
  </si>
  <si>
    <t>KN859</t>
  </si>
  <si>
    <t>Keytruda - 1L Gastric HER2+ (KN811)</t>
  </si>
  <si>
    <t>GastricKeytruda+Other Chemo2</t>
  </si>
  <si>
    <t>Keytruda - 2L+ Gastric</t>
  </si>
  <si>
    <t>HCC</t>
  </si>
  <si>
    <t>Intermediate Stage</t>
  </si>
  <si>
    <t>HCCKeytruda+LenvimaIntermediate Stage</t>
  </si>
  <si>
    <t>Key + Len - Intermediate HCC</t>
  </si>
  <si>
    <t>LEAP-012?</t>
  </si>
  <si>
    <t>HCCKeytruda2</t>
  </si>
  <si>
    <t>Keytruda - 2L+ HCC</t>
  </si>
  <si>
    <t>KN-394</t>
  </si>
  <si>
    <t>HCCKeytrudaAdjuvant</t>
  </si>
  <si>
    <t>Keytruda - Adjuvant HCC</t>
  </si>
  <si>
    <t>KN937</t>
  </si>
  <si>
    <t>Lenvima</t>
  </si>
  <si>
    <t>HCCLenvima1</t>
  </si>
  <si>
    <t>Lenvima - HCC</t>
  </si>
  <si>
    <t>Head &amp; Neck</t>
  </si>
  <si>
    <t>Head &amp; NeckKeytruda+Lenvima1</t>
  </si>
  <si>
    <t>Key + Len - 1L R/M H&amp;N (LEAP-10)</t>
  </si>
  <si>
    <t>LEAP-010</t>
  </si>
  <si>
    <t>Head &amp; NeckKeytruda+Lenvima2</t>
  </si>
  <si>
    <t>Key + Len - 2L R/M H&amp;N (LEAP-09)</t>
  </si>
  <si>
    <t>LEAP-009</t>
  </si>
  <si>
    <t>Head &amp; NeckKeytruda+Other Chemo1</t>
  </si>
  <si>
    <t>Keytruda - 1L R/M H&amp;N (KN-048)</t>
  </si>
  <si>
    <t>KN048</t>
  </si>
  <si>
    <t>Head &amp; NeckKeytruda1</t>
  </si>
  <si>
    <t>Head &amp; NeckKeytruda2</t>
  </si>
  <si>
    <t>Keytruda - 2L R/M H&amp;N</t>
  </si>
  <si>
    <t>KN12/55/040</t>
  </si>
  <si>
    <t>Head &amp; NeckKeytrudaNeoadjuvant only</t>
  </si>
  <si>
    <t>Keytruda - Neoadjuvant &amp; adjuvant H&amp;N (KN689)</t>
  </si>
  <si>
    <t>Neoadjuvant-Adjuvant</t>
  </si>
  <si>
    <t>Head &amp; NeckKeytrudaNeoadjuvant-Adjuvant</t>
  </si>
  <si>
    <t>Hodgkins Lymphoma</t>
  </si>
  <si>
    <t>Hodgkins LymphomaFavezelimab/Keytruda3</t>
  </si>
  <si>
    <t>Hodgkins LymphomaFavezelimab/Keytruda4</t>
  </si>
  <si>
    <t>Hodgkins LymphomaKeytruda2</t>
  </si>
  <si>
    <t>Keytruda - cHL/PMBCL</t>
  </si>
  <si>
    <t>KN204</t>
  </si>
  <si>
    <t>HR+ HER2- Breast Cancer</t>
  </si>
  <si>
    <t>CPS&gt;=1</t>
  </si>
  <si>
    <t>HR+ HER2- Breast CancerKeytruda+Chemo1</t>
  </si>
  <si>
    <t>Keytruda - HR+/HER2- BC</t>
  </si>
  <si>
    <t>HR+ HER2- Breast CancerKeytruda+Chemo2</t>
  </si>
  <si>
    <t>HR+ HER2- Breast CancerKeytruda+Chemo3</t>
  </si>
  <si>
    <t>Melanoma Stage III</t>
  </si>
  <si>
    <t>Melanoma Stage IIIKeytrudaAdjuvant</t>
  </si>
  <si>
    <t>Keytruda - Adjuvant Melanoma Stage III</t>
  </si>
  <si>
    <t>KN-054</t>
  </si>
  <si>
    <t>Melanoma Stage II</t>
  </si>
  <si>
    <t>Melanoma Stage IIKeytrudaAdjuvant</t>
  </si>
  <si>
    <t>Keytruda - Adjuvant Melanoma Stage II</t>
  </si>
  <si>
    <t>KN716</t>
  </si>
  <si>
    <t>Melanoma</t>
  </si>
  <si>
    <t>MelanomaKeytruda1</t>
  </si>
  <si>
    <t>Keytruda - 1L Advanced Melanoma</t>
  </si>
  <si>
    <t>KN-006</t>
  </si>
  <si>
    <t>MelanomaKeytruda2</t>
  </si>
  <si>
    <t>Keytruda - 2L Advanced Melanoma</t>
  </si>
  <si>
    <t>KN-002</t>
  </si>
  <si>
    <t>Merkel Cell</t>
  </si>
  <si>
    <t>Merkel CellKeytruda1</t>
  </si>
  <si>
    <t>Keytruda - Merkel Cell</t>
  </si>
  <si>
    <t>KN-017</t>
  </si>
  <si>
    <t>Mesothelioma</t>
  </si>
  <si>
    <t>MesotheliomaKeytruda+Chemo1</t>
  </si>
  <si>
    <t>Keytruda - Mesothelioma</t>
  </si>
  <si>
    <t>KN-483</t>
  </si>
  <si>
    <t>Urothelial</t>
  </si>
  <si>
    <t>Keytruda + EV-all comers</t>
  </si>
  <si>
    <t>UrothelialKeytruda + EV-all comers1</t>
  </si>
  <si>
    <t>Keytruda + EV - Bladder -1L all comers mUC (KN-A39)</t>
  </si>
  <si>
    <t>Keytruda + EV-cisIE</t>
  </si>
  <si>
    <t>UrothelialKeytruda + EV-cisIE1</t>
  </si>
  <si>
    <t>Keytruda + EV - Bladder - cis IE mUC (KN869)</t>
  </si>
  <si>
    <t>MIBC</t>
  </si>
  <si>
    <t>Keytruda + XRT</t>
  </si>
  <si>
    <t>MIBC-BP</t>
  </si>
  <si>
    <t>MIBCKeytruda + XRTMIBC-BP</t>
  </si>
  <si>
    <t>Keytruda - MIBC + CRT Bladder Preservation (KN992)</t>
  </si>
  <si>
    <t>MIBCKeytruda+ChemoNeoadjuvant only</t>
  </si>
  <si>
    <t>KN992</t>
  </si>
  <si>
    <t>MIBCKeytruda+ChemoNeoadjuvant-Adjuvant</t>
  </si>
  <si>
    <t>Keytruda+EV</t>
  </si>
  <si>
    <t>MIBCKeytruda+EVNeoadjuvant only</t>
  </si>
  <si>
    <t>MIBCKeytruda+EVNeoadjuvant-Adjuvant</t>
  </si>
  <si>
    <t>MIBCKeytrudaAdjuvant</t>
  </si>
  <si>
    <t>MSI High Non CRC Non Endo</t>
  </si>
  <si>
    <t>MSI-High</t>
  </si>
  <si>
    <t>MSI High Non CRC Non EndoKeytruda2</t>
  </si>
  <si>
    <t>Keytruda - MSI-H - Other Tumors (Non Endo &amp; CRC)</t>
  </si>
  <si>
    <t>KN164</t>
  </si>
  <si>
    <t>NMIBC BCG Naïve</t>
  </si>
  <si>
    <t>Keytruda+BCG</t>
  </si>
  <si>
    <t>NMIBC</t>
  </si>
  <si>
    <t>NMIBC BCG NaïveKeytruda+BCGNMIBC</t>
  </si>
  <si>
    <t>Keytruda - NMIBC + BCG - BCG Naïve (KN676n)</t>
  </si>
  <si>
    <t>NMIBC BCG Persistent</t>
  </si>
  <si>
    <t>NMIBC BCG PersistentKeytruda+BCGNMIBC</t>
  </si>
  <si>
    <t>Keytruda - NMIBC +BCG - BCG Persistent (KN676p)</t>
  </si>
  <si>
    <t>NMIBCKeytrudaNMIBC</t>
  </si>
  <si>
    <t>Keytruda - NMIBC - BCG Unresponsive (KN057)</t>
  </si>
  <si>
    <t>KN676p</t>
  </si>
  <si>
    <t>NSCLC</t>
  </si>
  <si>
    <t>Keytruda + Chemo -&gt; Lynparza (MTX)</t>
  </si>
  <si>
    <t>TPS&lt;1</t>
  </si>
  <si>
    <t>NSCLCKeytruda + Chemo -&gt; Lynparza (MTX)1</t>
  </si>
  <si>
    <t>Key + Lyn - NSCLC</t>
  </si>
  <si>
    <t>KL-012</t>
  </si>
  <si>
    <t>TPS&gt;=50</t>
  </si>
  <si>
    <t>TPS1-49</t>
  </si>
  <si>
    <t>Keytruda + C-TROP + Chemo</t>
  </si>
  <si>
    <t>NSCLCKeytruda + C-TROP + Chemo1</t>
  </si>
  <si>
    <t>Keytruda + C-TROP ADC 1L NSCLC</t>
  </si>
  <si>
    <t>Keytruda + C-TROP</t>
  </si>
  <si>
    <t>NSCLCKeytruda + C-TROP1</t>
  </si>
  <si>
    <t>Keytruda + Platinum Doublet</t>
  </si>
  <si>
    <t>NSCLCKeytruda + Platinum DoubletNeoadjuvant only</t>
  </si>
  <si>
    <t>Keytruda - Neoadjuvant &amp; Adjuvant NSCLC (KN671)</t>
  </si>
  <si>
    <t>KN-671</t>
  </si>
  <si>
    <t>NSCLCKeytruda + Platinum DoubletNeoadjuvant-Adjuvant</t>
  </si>
  <si>
    <t>Keytruda + SBRT</t>
  </si>
  <si>
    <t>SBRT</t>
  </si>
  <si>
    <t>NSCLCKeytruda + SBRTSBRT</t>
  </si>
  <si>
    <t>Keytruda - Inoperable NSCLC</t>
  </si>
  <si>
    <t>Keytruda + TIGIT + Chemo</t>
  </si>
  <si>
    <t>NSCLCKeytruda + TIGIT + Chemo1</t>
  </si>
  <si>
    <t>MK7684A - Pembro + TIGIT</t>
  </si>
  <si>
    <t>KV-007 (MK-7684A)</t>
  </si>
  <si>
    <t>Keytruda/TIGIT</t>
  </si>
  <si>
    <t>NSCLCKeytruda/TIGIT1</t>
  </si>
  <si>
    <t>NSCLCKeytruda+Chemo1</t>
  </si>
  <si>
    <t>Keytruda - 1L NSCLC</t>
  </si>
  <si>
    <t>KN189 / KN407</t>
  </si>
  <si>
    <t>NSCLCKeytruda+Lenvima1</t>
  </si>
  <si>
    <t>Key + Len - 1L NSCLC (LEAP 006)</t>
  </si>
  <si>
    <t>LEAP006</t>
  </si>
  <si>
    <t>NSCLCKeytruda+Lenvima2</t>
  </si>
  <si>
    <t>Key + Len - 2L NSCLC (LEAP 008)</t>
  </si>
  <si>
    <t>LEAP-008</t>
  </si>
  <si>
    <t>NSCLCKeytruda1</t>
  </si>
  <si>
    <t>KN024</t>
  </si>
  <si>
    <t>NSCLCKeytruda2</t>
  </si>
  <si>
    <t>Keytruda - 2L NSCLC</t>
  </si>
  <si>
    <t>KN 10</t>
  </si>
  <si>
    <t>NSCLCKeytrudaAdjuvant</t>
  </si>
  <si>
    <t>Keytruda - Adjuvant NSCLC (KN091)</t>
  </si>
  <si>
    <t>KN-091</t>
  </si>
  <si>
    <t>Ovarian</t>
  </si>
  <si>
    <t>Keytruda + Chemo +/-Avastin --&gt; Keytruda +/- Lynparza +/-Avastin (MTx)</t>
  </si>
  <si>
    <t>BRCAwt</t>
  </si>
  <si>
    <t>OvarianKeytruda + Chemo +/-Avastin --&gt; Keytruda +/- Lynparza +/-Avastin (MTx)1</t>
  </si>
  <si>
    <t>Key + Lyn - Ovarian</t>
  </si>
  <si>
    <t>KL-001</t>
  </si>
  <si>
    <t>Keytruda + Chemo +/-Avastin --&gt; No MTx</t>
  </si>
  <si>
    <t>OvarianKeytruda + Chemo +/-Avastin --&gt; No MTx1</t>
  </si>
  <si>
    <t>Keytruda +Paclitaxel +/- Avastin</t>
  </si>
  <si>
    <t>BRCA MT</t>
  </si>
  <si>
    <t>OvarianKeytruda +Paclitaxel +/- Avastin2</t>
  </si>
  <si>
    <t>KN-B96</t>
  </si>
  <si>
    <t>PMBCL</t>
  </si>
  <si>
    <t>PMBCLKeytruda1</t>
  </si>
  <si>
    <t>KN170</t>
  </si>
  <si>
    <t>RCC</t>
  </si>
  <si>
    <t>RCCKeytruda+Lenvima1</t>
  </si>
  <si>
    <t>Key + Len - Advanced RCC</t>
  </si>
  <si>
    <t>KN581</t>
  </si>
  <si>
    <t>RCCKeytruda+Lenvima2</t>
  </si>
  <si>
    <t>RCCKeytrudaAdjuvant</t>
  </si>
  <si>
    <t>KN564</t>
  </si>
  <si>
    <t>Lenvima+Afinitor</t>
  </si>
  <si>
    <t>RCCLenvima+Afinitor2</t>
  </si>
  <si>
    <t>Len + Eve - RCC</t>
  </si>
  <si>
    <t>Welireg + Lenvima</t>
  </si>
  <si>
    <t>RCCWelireg + Lenvima2</t>
  </si>
  <si>
    <t>Wel + Len - RCC</t>
  </si>
  <si>
    <t>PN011</t>
  </si>
  <si>
    <t>RCCWelireg + Lenvima3</t>
  </si>
  <si>
    <t>Welireg</t>
  </si>
  <si>
    <t>RCCWelireg2</t>
  </si>
  <si>
    <t>Welireg - 2L+ aRCC</t>
  </si>
  <si>
    <t>PN005</t>
  </si>
  <si>
    <t>RCCWelireg3</t>
  </si>
  <si>
    <t>SCLC</t>
  </si>
  <si>
    <t>Keytruda + Chemo (IND)</t>
  </si>
  <si>
    <t>Limited Stage SCLC</t>
  </si>
  <si>
    <t>SCLCKeytruda + Chemo (IND)Limited Stage SCLC</t>
  </si>
  <si>
    <t>Key + Lyn - SCLC</t>
  </si>
  <si>
    <t>Keytruda + Chemo -&gt; Keyt only (IND+MTX)</t>
  </si>
  <si>
    <t>SCLCKeytruda + Chemo -&gt; Keyt only (IND+MTX)Limited Stage SCLC</t>
  </si>
  <si>
    <t>Keytruda + Chemo -&gt; Lynparza (IND+MTX)</t>
  </si>
  <si>
    <t>SCLCKeytruda + Chemo -&gt; Lynparza (IND+MTX)Limited Stage SCLC</t>
  </si>
  <si>
    <t>Keytruda/TIGIT + Chemo</t>
  </si>
  <si>
    <t>SCLCKeytruda/TIGIT + Chemo1</t>
  </si>
  <si>
    <t>TNBC</t>
  </si>
  <si>
    <t>Keytruda + Sacituzumab</t>
  </si>
  <si>
    <t>TNBCKeytruda + Sacituzumab1</t>
  </si>
  <si>
    <t>Keytruda + Sacituzumab - Metastatic TNBC</t>
  </si>
  <si>
    <t>TNBCKeytruda+Chemo1</t>
  </si>
  <si>
    <t>Keytruda - Metastatic TNBC</t>
  </si>
  <si>
    <t>KN355</t>
  </si>
  <si>
    <t>TNBCKeytruda+Chemo2</t>
  </si>
  <si>
    <t>TNBCKeytruda+ChemoNeoadjuvant only</t>
  </si>
  <si>
    <t>Keytruda - Neoadjuvant &amp; Adjuvant TNBC</t>
  </si>
  <si>
    <t>KN522</t>
  </si>
  <si>
    <t>TNBCKeytruda+ChemoNeoadjuvant-Adjuvant</t>
  </si>
  <si>
    <t>TNBCKeytrudaAdjuvant</t>
  </si>
  <si>
    <t>KN242</t>
  </si>
  <si>
    <t>TNBCKeytrudaNeoadjuvant-Adjuvant</t>
  </si>
  <si>
    <t>UrothelialKeytruda1</t>
  </si>
  <si>
    <t>Keytruda mono - Bladder - mUC</t>
  </si>
  <si>
    <t>KN052</t>
  </si>
  <si>
    <t>UrothelialKeytruda2</t>
  </si>
  <si>
    <t>VHL</t>
  </si>
  <si>
    <t>All Lines</t>
  </si>
  <si>
    <t>VHLWeliregAll Lines</t>
  </si>
  <si>
    <t>Welireg - VHL assoc RCC/CNS/PNETS</t>
  </si>
  <si>
    <t>PN004</t>
  </si>
  <si>
    <t>Keytruda - Locally Advanced Cervical</t>
  </si>
  <si>
    <t>Keytruda - 1L Cervical</t>
  </si>
  <si>
    <t>Keytruda - 2L Cervical</t>
  </si>
  <si>
    <t>Adjuvant Endo Chemo +/- Keytruda mono (KNB21)</t>
  </si>
  <si>
    <t>Keytruda - MIBC neoadj/adj + Chemo (KN866)</t>
  </si>
  <si>
    <t>Keytruda - MIBC Neoadj/adj + EV Cis eligible (KNB15)</t>
  </si>
  <si>
    <t>Keytruda - MIBC Adjuvant all comers (KN123)</t>
  </si>
  <si>
    <t>Keytruda - Adjuvant RCC</t>
  </si>
  <si>
    <t>Grand Total</t>
  </si>
  <si>
    <t>Column Labels</t>
  </si>
  <si>
    <t/>
  </si>
  <si>
    <t>Brand</t>
  </si>
  <si>
    <t>Key</t>
  </si>
  <si>
    <t>MCODE</t>
  </si>
  <si>
    <t>Keytruda - NSCLC</t>
  </si>
  <si>
    <t>Keytruda - cHL</t>
  </si>
  <si>
    <t>Keytruda - PMBCL</t>
  </si>
  <si>
    <t>Keytruda - NMIBC</t>
  </si>
  <si>
    <t>Keytruda - Cervical</t>
  </si>
  <si>
    <t>Count</t>
  </si>
  <si>
    <t>DOLLARIZING Impactable Revenue</t>
  </si>
  <si>
    <t>Pretax Monthly PGM per Patient (Profit Share Value)</t>
  </si>
  <si>
    <t>Pretax Monthly PGM (100% value)</t>
  </si>
  <si>
    <t>Profit Share %</t>
  </si>
  <si>
    <t>Unit/Month</t>
  </si>
  <si>
    <t>Pretax PGM per Unit</t>
  </si>
  <si>
    <t>KEYTRUDA</t>
  </si>
  <si>
    <t>LENVIMA</t>
  </si>
  <si>
    <t>LYNPARZA</t>
  </si>
  <si>
    <t>WELIREG</t>
  </si>
  <si>
    <t>FAVE-KEYTRUDA</t>
  </si>
  <si>
    <t>COMBOS</t>
  </si>
  <si>
    <t>Profit Share</t>
  </si>
  <si>
    <t>Brand 1</t>
  </si>
  <si>
    <t>Brand 1 %</t>
  </si>
  <si>
    <t>Brand 2</t>
  </si>
  <si>
    <t>Brand 2 %</t>
  </si>
  <si>
    <t>KEYTRUDA-LENVIMA</t>
  </si>
  <si>
    <t>Len</t>
  </si>
  <si>
    <t>KEYTRUDA-LYNPARZA</t>
  </si>
  <si>
    <t>Lyn</t>
  </si>
  <si>
    <t>WELIREG-LENVIMA</t>
  </si>
  <si>
    <t>Wel</t>
  </si>
  <si>
    <t>Monthly Patient Value 100%</t>
  </si>
  <si>
    <t>Monthly Patient Value PrfShr</t>
  </si>
  <si>
    <t>Change Imp NPS to Revenue 100%</t>
  </si>
  <si>
    <t>Change Imp NPS to Revenue PrfShr</t>
  </si>
  <si>
    <t>KEY + Combo (w/o profit share) Portion
100% Key + 100% Len/Lyn</t>
  </si>
  <si>
    <t>KEY + Combo (with profit share) Portion
100% Key + 50% Len/Lyn</t>
  </si>
  <si>
    <t>Original Forecast:</t>
  </si>
  <si>
    <t>Splits applied across mono &amp; combo indications with Profit share ONLY:</t>
  </si>
  <si>
    <t>Current</t>
  </si>
  <si>
    <t>US Oncology</t>
  </si>
  <si>
    <t>2023 May FC</t>
  </si>
  <si>
    <t>Net Sales</t>
  </si>
  <si>
    <t>Keytruda - Lung</t>
  </si>
  <si>
    <t>Key + Len - NSCLC</t>
  </si>
  <si>
    <t>Keytruda - Neoadjuvant &amp; Adjuvant NSCLC</t>
  </si>
  <si>
    <t>Keytruda - SCLC</t>
  </si>
  <si>
    <t>Keytruda - Melanoma Family</t>
  </si>
  <si>
    <t>Keytruda - Adjuvant Melanoma</t>
  </si>
  <si>
    <t>Keytruda - GI Cancers</t>
  </si>
  <si>
    <t>Keytruda - Upper GI Cancers</t>
  </si>
  <si>
    <t>Keytruda - Adv Gastric &amp; Esoph</t>
  </si>
  <si>
    <t>Keytruda - MSI-H CRC &amp; Other Tumors (Non-Endo)</t>
  </si>
  <si>
    <t>Keytruda - H&amp;N Cancers</t>
  </si>
  <si>
    <t>Key + Len - H&amp;N</t>
  </si>
  <si>
    <t>Keytruda - Heme</t>
  </si>
  <si>
    <t>Keytruda - GU Cancers</t>
  </si>
  <si>
    <t>Keytruda - Bladder - mUC</t>
  </si>
  <si>
    <t>Keytruda - MIBC</t>
  </si>
  <si>
    <t>Keytruda -MIBC - Radical Cystectomy</t>
  </si>
  <si>
    <t>Keytruda - RCC (Total: Adv + Adj)</t>
  </si>
  <si>
    <t>Keytruda - RCC NO PRIORITY</t>
  </si>
  <si>
    <t>Keytruda + axi - Advanced RCC NO PRIORITY</t>
  </si>
  <si>
    <t>Keytruda - Women's Cancers</t>
  </si>
  <si>
    <t>Keytruda - Endometrial (inclusive of Key + Len Combo, MSI-H, and all-comers)</t>
  </si>
  <si>
    <t>Lynparza</t>
  </si>
  <si>
    <t>Lynparza - Ovarian</t>
  </si>
  <si>
    <t>Lynparza - Breast</t>
  </si>
  <si>
    <t>Lynparza - Pancreas</t>
  </si>
  <si>
    <t>Lynparza - Lung (NSCLC, SCLC)</t>
  </si>
  <si>
    <t>Lenvima - RCC</t>
  </si>
  <si>
    <t>GI Cancers (HCC, Eso, and Gastric)</t>
  </si>
  <si>
    <t>Women's Cancers (Endo)</t>
  </si>
  <si>
    <t>Lung Cancers (NSCLC)</t>
  </si>
  <si>
    <t>H&amp;N Cancers</t>
  </si>
  <si>
    <t>Lenvima - DTC</t>
  </si>
  <si>
    <t>Lenvima - H&amp;N</t>
  </si>
  <si>
    <t>Welireg - VHL &amp; 2L+ aRCC</t>
  </si>
  <si>
    <t>New Products</t>
  </si>
  <si>
    <t>MK1026 (CLL and B Cell Lymphomas)</t>
  </si>
  <si>
    <t>1. Keytruda includes Keytruda mono and Key-Lynparza combo</t>
  </si>
  <si>
    <t>2. Lenvima includes Lenvima mono, Key-Lenvima combos and Welireg-Lenvima combos</t>
  </si>
  <si>
    <t>3. Lynparza includes Lynparza mono</t>
  </si>
  <si>
    <t>4. Welireg includes Welireg mono</t>
  </si>
  <si>
    <t>BUDGETS:</t>
  </si>
  <si>
    <t>Tumor Mcode</t>
  </si>
  <si>
    <t>Key + Len - Gastric</t>
  </si>
  <si>
    <t>Keytruda-Lenvima Endometrial</t>
  </si>
  <si>
    <t>Keytruda - Endometrial (inclusive of MSI-H, and all-comers)</t>
  </si>
  <si>
    <t>KEYTRUDA H&amp;N</t>
  </si>
  <si>
    <t>Mcode</t>
  </si>
  <si>
    <t>Consumer Focus</t>
  </si>
  <si>
    <t>Portfolio Synergy/Tumor Prioritization</t>
  </si>
  <si>
    <t>Priority Value (from Column E)</t>
  </si>
  <si>
    <t># New Ind</t>
  </si>
  <si>
    <t>NI Wght</t>
  </si>
  <si>
    <t># New Tumor</t>
  </si>
  <si>
    <t>NT Wght</t>
  </si>
  <si>
    <t>Launch Kicker</t>
  </si>
  <si>
    <t>Sales Force</t>
  </si>
  <si>
    <t>Competitive  Landscape</t>
  </si>
  <si>
    <t>Unique Customer Segment</t>
  </si>
  <si>
    <t>Multi Factor</t>
  </si>
  <si>
    <t>High</t>
  </si>
  <si>
    <t>Low</t>
  </si>
  <si>
    <t>Medium</t>
  </si>
  <si>
    <t>Tumor</t>
  </si>
  <si>
    <t>Priority Designation</t>
  </si>
  <si>
    <t>Base</t>
  </si>
  <si>
    <t>Lynparza - Prostate</t>
  </si>
  <si>
    <t>Launch Date</t>
  </si>
  <si>
    <t>New Product</t>
  </si>
  <si>
    <t>Keytruda-Lenvima</t>
  </si>
  <si>
    <t>Keytruda-Lynparza</t>
  </si>
  <si>
    <t>Welireg-Lenvima</t>
  </si>
  <si>
    <t>Final Launch Date</t>
  </si>
  <si>
    <t>Launch Year</t>
  </si>
  <si>
    <t>Label</t>
  </si>
  <si>
    <t>calc date = 1/1/23</t>
  </si>
  <si>
    <t>Start</t>
  </si>
  <si>
    <t>End</t>
  </si>
  <si>
    <t>% Imp Yr1</t>
  </si>
  <si>
    <t>% Imp Yr2</t>
  </si>
  <si>
    <t>Weight Yr1</t>
  </si>
  <si>
    <t>Weight Yr2</t>
  </si>
  <si>
    <t>after launch yr</t>
  </si>
  <si>
    <t>launch</t>
  </si>
  <si>
    <t>2mo to 18mo</t>
  </si>
  <si>
    <t>18mo+ to 3yrs</t>
  </si>
  <si>
    <t>3+ to 6 yrs</t>
  </si>
  <si>
    <t>6+yrs</t>
  </si>
  <si>
    <t>Total Sales 100% Share</t>
  </si>
  <si>
    <t>Total Sales Profit Share</t>
  </si>
  <si>
    <t>PrfShare with weights</t>
  </si>
  <si>
    <t>Group Weight Notes:</t>
  </si>
  <si>
    <t>Instructions</t>
  </si>
  <si>
    <t>Tumor Prio &amp; Launch Kicker: assigned to each indication so apply to each record (use GW=1)</t>
  </si>
  <si>
    <t>Multi Variable: sales force &amp; comp landscape more like tumor level but uniq cust is indication</t>
  </si>
  <si>
    <t>Consumer Focus: weight by mcode; this is assigned at high level not indication level because promo not as in depth as varying by indication</t>
  </si>
  <si>
    <t>HCP Total Budget</t>
  </si>
  <si>
    <t>&lt;- Input starting budget</t>
  </si>
  <si>
    <t>Change Model Var Weights &amp; sales force var</t>
  </si>
  <si>
    <t>Budget Allocated for Variable - $, % of HCP Total Budget</t>
  </si>
  <si>
    <t>Tumor Mcode Flag</t>
  </si>
  <si>
    <t>Weighted 2 yr sales</t>
  </si>
  <si>
    <t>Weighted Sales Index</t>
  </si>
  <si>
    <t>Truth Value</t>
  </si>
  <si>
    <t>Sales Forecast Budget</t>
  </si>
  <si>
    <t>Weighted Imp rev $</t>
  </si>
  <si>
    <t>Weighted Imp Rev index</t>
  </si>
  <si>
    <t>Impactable Sales Budget</t>
  </si>
  <si>
    <t>V7: Tumor Prioritization</t>
  </si>
  <si>
    <t>Tumor Prio Score</t>
  </si>
  <si>
    <t>Tumor Prio Budget</t>
  </si>
  <si>
    <t>Launch Kicker Budget</t>
  </si>
  <si>
    <t>Multifactor Variable Budget</t>
  </si>
  <si>
    <t xml:space="preserve">V12: Consumer Focus </t>
  </si>
  <si>
    <t>Consumer Focus Score</t>
  </si>
  <si>
    <t>Consumer Focus Budget</t>
  </si>
  <si>
    <t>Allocated Budget</t>
  </si>
  <si>
    <t>scoring</t>
  </si>
  <si>
    <t>Indication Level</t>
  </si>
  <si>
    <t>Indication Level (weight =1 understood)</t>
  </si>
  <si>
    <t>Tumor Mcode Level</t>
  </si>
  <si>
    <t>in_value</t>
  </si>
  <si>
    <t>index</t>
  </si>
  <si>
    <t>truth_value</t>
  </si>
  <si>
    <t>budget</t>
  </si>
  <si>
    <t>Grp Weight</t>
  </si>
  <si>
    <t>Lung</t>
  </si>
  <si>
    <t>Instructions:</t>
  </si>
  <si>
    <t>MAIO team to manage this - used to transform input variables when running model in Tab 3.6</t>
  </si>
  <si>
    <t xml:space="preserve">For Blythe </t>
  </si>
  <si>
    <t>variable</t>
  </si>
  <si>
    <t>in_val</t>
  </si>
  <si>
    <t>truth_val</t>
  </si>
  <si>
    <t>factors</t>
  </si>
  <si>
    <t>v1</t>
  </si>
  <si>
    <t>YR1 Forecast</t>
  </si>
  <si>
    <t>v2</t>
  </si>
  <si>
    <t>v3</t>
  </si>
  <si>
    <t>v4</t>
  </si>
  <si>
    <t>v5</t>
  </si>
  <si>
    <t>v6</t>
  </si>
  <si>
    <t>YR2 Forecast</t>
  </si>
  <si>
    <t>YR3 Forecast</t>
  </si>
  <si>
    <t>YR1 Impactable</t>
  </si>
  <si>
    <t>YR2 Impactable</t>
  </si>
  <si>
    <t>YR3 Impactable</t>
  </si>
  <si>
    <t>v7</t>
  </si>
  <si>
    <t>Portfolio Synergy</t>
  </si>
  <si>
    <t>v8</t>
  </si>
  <si>
    <t>Sales Force Support</t>
  </si>
  <si>
    <t>None</t>
  </si>
  <si>
    <t>v9</t>
  </si>
  <si>
    <t>Opport. Launch Yr</t>
  </si>
  <si>
    <t>v10</t>
  </si>
  <si>
    <t>Opport. Beyond Yr1</t>
  </si>
  <si>
    <t>v11</t>
  </si>
  <si>
    <t>Competition</t>
  </si>
  <si>
    <t>v12</t>
  </si>
  <si>
    <t>BRAND MODEL ONLY</t>
  </si>
  <si>
    <t>v13</t>
  </si>
  <si>
    <t>Strategic Brand Factor</t>
  </si>
  <si>
    <t>v14</t>
  </si>
  <si>
    <t>v15</t>
  </si>
  <si>
    <t>LENVIMA MODEL ONLY</t>
  </si>
  <si>
    <t>v16</t>
  </si>
  <si>
    <t>v17</t>
  </si>
  <si>
    <t>LYNPARZA MODEL ONLY</t>
  </si>
  <si>
    <t>v18</t>
  </si>
  <si>
    <t>v19</t>
  </si>
  <si>
    <t>Launch Dates</t>
  </si>
  <si>
    <t>A. Planning Year:</t>
  </si>
  <si>
    <t>B. Model Variables &amp; Weights. NOTE: In 2021 - may need to adjust for whether we continue to use the Opportunistic Kicker or not; if we do, may need to adjust for % weight assigned</t>
  </si>
  <si>
    <t>Input #:</t>
  </si>
  <si>
    <t>Model Variable:</t>
  </si>
  <si>
    <t>Weight %</t>
  </si>
  <si>
    <t>Scenario 1</t>
  </si>
  <si>
    <t>Scenario 2</t>
  </si>
  <si>
    <t>V1-3</t>
  </si>
  <si>
    <t>Forecast Sales</t>
  </si>
  <si>
    <t>V4-6</t>
  </si>
  <si>
    <t>Impactable Revenue</t>
  </si>
  <si>
    <t>V7</t>
  </si>
  <si>
    <t>Prioritization</t>
  </si>
  <si>
    <t>V9</t>
  </si>
  <si>
    <t>V12</t>
  </si>
  <si>
    <t>Consumer Focus Prioritization</t>
  </si>
  <si>
    <t>tumor</t>
  </si>
  <si>
    <t>V10</t>
  </si>
  <si>
    <t>MultiFactor (SF, Lands, UnqSeg)</t>
  </si>
  <si>
    <t>indication</t>
  </si>
  <si>
    <t>Total</t>
  </si>
  <si>
    <t>^ Auto-populates based on Tab 2.3</t>
  </si>
  <si>
    <t>Finance Code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</si>
  <si>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1. Consumer team to complete this tab by providing a designation and rationale for 2024 DOMINO Consumer Focus Value across brand/tumor families.
</t>
    </r>
  </si>
  <si>
    <t>Tumor Family</t>
  </si>
  <si>
    <t xml:space="preserve">2024 DOMINO Consumer Focus Value: </t>
  </si>
  <si>
    <t>Rationale:</t>
  </si>
  <si>
    <t>KEYTRUDA Lung</t>
  </si>
  <si>
    <t>High (Lung)</t>
  </si>
  <si>
    <t>KEY+LEN Lung</t>
  </si>
  <si>
    <t>KEY+LYN Lung</t>
  </si>
  <si>
    <t>KEYTRUDA Melanoma</t>
  </si>
  <si>
    <t>High (Skin)</t>
  </si>
  <si>
    <t>High (H&amp;N)</t>
  </si>
  <si>
    <t>KEY+LEN H&amp;N</t>
  </si>
  <si>
    <t>KEYTRUDA MSI-H</t>
  </si>
  <si>
    <t>KEYTRUDA Bladder (UC)</t>
  </si>
  <si>
    <t>KEYTRUDA Bladder (NMIBC)</t>
  </si>
  <si>
    <t>KEYTRUDA Bladder (MIBC)</t>
  </si>
  <si>
    <t>(New)</t>
  </si>
  <si>
    <t>KEYTRUDA Adj RCC</t>
  </si>
  <si>
    <t>High (RCC)</t>
  </si>
  <si>
    <t>WELIREG aRCC</t>
  </si>
  <si>
    <t>KEY+LEN RCC</t>
  </si>
  <si>
    <t>WELIREG VHL Disease</t>
  </si>
  <si>
    <t>KEY+LYN Prostate</t>
  </si>
  <si>
    <t>High (Prostate)</t>
  </si>
  <si>
    <t>KEYTRUDA Breast</t>
  </si>
  <si>
    <t>High (Breast)</t>
  </si>
  <si>
    <t>KEY+LYN Breast</t>
  </si>
  <si>
    <t>KEY+LYN Ovarian</t>
  </si>
  <si>
    <t>Medium (Gyn)</t>
  </si>
  <si>
    <t>KEY+LEN Endometrial</t>
  </si>
  <si>
    <t>KEYTRUDA Gyn (Cervical, Endo, and Ovarian)</t>
  </si>
  <si>
    <t>KEYTRUDA Gastric</t>
  </si>
  <si>
    <t>High (Gastric)</t>
  </si>
  <si>
    <t>KEY+LEN Gastric</t>
  </si>
  <si>
    <t>KEYTRUDA Esophageal</t>
  </si>
  <si>
    <t>KEYTRUDA HCC</t>
  </si>
  <si>
    <t>Heme</t>
  </si>
  <si>
    <t>KEYTRUDA Biliary</t>
  </si>
  <si>
    <t>Fave (Co-Form) MSS CRC</t>
  </si>
  <si>
    <t>KEY+LYN Pancreas</t>
  </si>
  <si>
    <t>Drivers of Promotional Sensitivity:</t>
  </si>
  <si>
    <t>Level of patient engagement/advocacy around treatment decisions</t>
  </si>
  <si>
    <t>Media addressability to targets</t>
  </si>
  <si>
    <t>Avg. Age of Dx Patients</t>
  </si>
  <si>
    <t>Other demographics - Race, SODH</t>
  </si>
  <si>
    <t>Level of/Lack of Advocacy Group Support and Consumer attention focused on the Tumor/Tumor family</t>
  </si>
  <si>
    <t>Level of motivational supporter engagement/involvement in treatment decisions</t>
  </si>
  <si>
    <t>Speed of tumor growth and urgency of treatment (Tumors like Prostate)</t>
  </si>
  <si>
    <t>2024 launches</t>
  </si>
  <si>
    <t>Indication from Launch Chart</t>
  </si>
  <si>
    <t>Month</t>
  </si>
  <si>
    <t>Type</t>
  </si>
  <si>
    <t>Indication Mapping from Domino</t>
  </si>
  <si>
    <t>FAVE-Keytruda</t>
  </si>
  <si>
    <t>3L + MSS CRC</t>
  </si>
  <si>
    <t>June</t>
  </si>
  <si>
    <t>product</t>
  </si>
  <si>
    <t>Sum of Count</t>
  </si>
  <si>
    <t>1L mNSCLC Sq.</t>
  </si>
  <si>
    <t>July</t>
  </si>
  <si>
    <t>1L mNSCLC Nsq.</t>
  </si>
  <si>
    <t>Sept</t>
  </si>
  <si>
    <t>1L Ovarian</t>
  </si>
  <si>
    <t>Dec</t>
  </si>
  <si>
    <t>1L R/M HNSCC</t>
  </si>
  <si>
    <t>April</t>
  </si>
  <si>
    <t>2L NSCLC PD-1 Exp.</t>
  </si>
  <si>
    <t>May</t>
  </si>
  <si>
    <t>1L Endo</t>
  </si>
  <si>
    <t>1L Nsq. NSCLC</t>
  </si>
  <si>
    <t>HER2-Gastric</t>
  </si>
  <si>
    <t>Adjuvant Cervical</t>
  </si>
  <si>
    <t>Feb</t>
  </si>
  <si>
    <t>1L Biliary</t>
  </si>
  <si>
    <t>March</t>
  </si>
  <si>
    <t>1L mUC</t>
  </si>
  <si>
    <t>2L + Adj Endo</t>
  </si>
  <si>
    <t>Aug</t>
  </si>
  <si>
    <t>1L pMMR Endo</t>
  </si>
  <si>
    <t>1L dMMR Endo</t>
  </si>
  <si>
    <t>1L Mesothelioma</t>
  </si>
  <si>
    <t>Oct</t>
  </si>
  <si>
    <t>Neo/Adj MIBC Cis-Eligible</t>
  </si>
  <si>
    <t>New Product - 2024</t>
  </si>
  <si>
    <t>New Tumor - Q1'2024</t>
  </si>
  <si>
    <t>New Indication - Q1'24</t>
  </si>
  <si>
    <t>New Product - Q2'24</t>
  </si>
  <si>
    <t>No Launch Date Available</t>
  </si>
  <si>
    <t>New Indication - Q2'24</t>
  </si>
  <si>
    <t>New Product - 2026</t>
  </si>
  <si>
    <t>New Indication - 2024</t>
  </si>
  <si>
    <t>New Indication - 2026</t>
  </si>
  <si>
    <t>New Indication  - 2025</t>
  </si>
  <si>
    <t>New Indication - 2025</t>
  </si>
  <si>
    <t>New Tumor - 2025</t>
  </si>
  <si>
    <t>New Tumor - Q4'24</t>
  </si>
  <si>
    <t>New Indication - 2027</t>
  </si>
  <si>
    <t>New Indication - 2026/2027</t>
  </si>
  <si>
    <t>New Indication - Q2'24/Q3'24</t>
  </si>
  <si>
    <t>New Indication - 2024/2025</t>
  </si>
  <si>
    <t>* under 2 indications -  PMBCL/Hodgkins Lymphoma</t>
  </si>
  <si>
    <t>New Product - 2025</t>
  </si>
  <si>
    <t>New Product -2026</t>
  </si>
  <si>
    <t xml:space="preserve">  </t>
  </si>
  <si>
    <t>Older Indication + New Indication - 2025</t>
  </si>
  <si>
    <t>Mike - Women's Cancers &amp; LENVIMA</t>
  </si>
  <si>
    <t>Tumor Family/Indication</t>
  </si>
  <si>
    <t>2023 Designation</t>
  </si>
  <si>
    <t xml:space="preserve">2024 Designation </t>
  </si>
  <si>
    <t>2024 Tumor Prio</t>
  </si>
  <si>
    <t>Rationale</t>
  </si>
  <si>
    <t>Keytruda Endo</t>
  </si>
  <si>
    <t>High (KEY Gyn and KEY+LEN Endo as consolidated group)</t>
  </si>
  <si>
    <t xml:space="preserve">Expect multiple entrants in 1L setting:  RUBY (2023);  LEAP001, ATTEND, DUO-E  (expected 2024); all will compete for similar pt population. DESTINY (Pan Tumor - with compelling ENDO data) -- 2L+ watch &amp; wait </t>
  </si>
  <si>
    <t>Designation proposed to go down from last year</t>
  </si>
  <si>
    <t>Keytruda TNBC</t>
  </si>
  <si>
    <t>High - Early Stage (NAT/AT)
High - Metastatic</t>
  </si>
  <si>
    <t>NAT/AT: High
1L: Base</t>
  </si>
  <si>
    <t xml:space="preserve">1.Early Stage (NAT/AT) - Tecentriq (Roche) anticipated launch in H1 '24 with a very similar indication (NAT/AT) to our current KN-522.
2.Metastatic - Tecentriq anticipated launch in H1 '24 with a very similar indication (PD-L1 CPS =&gt;10) to our current KN-355. Other entrants with low PoS/impact anticipated are Capivasertib (AZ), Trilaciclib (G1 Therapeutics) and Sacituzumab (Gilead). </t>
  </si>
  <si>
    <t>Designation proposed to go up from last year</t>
  </si>
  <si>
    <t>Keytruda Cervical</t>
  </si>
  <si>
    <t xml:space="preserve">Prior competitive trial -- BeatCC no longer considered registrational in US - may be in EU (potential approval 2Q24); DESTINY (Pan Tumor) -- 2L+ watch &amp; wait </t>
  </si>
  <si>
    <t>Designation is new as of this year</t>
  </si>
  <si>
    <t>Keytruda Ovarian</t>
  </si>
  <si>
    <t xml:space="preserve">Expect multiple entrants in 1L setting:  DUO-O, FIRST (2024) will compete for similar pt population to KEY-LYNK001. DESTINY (Pan Tumor - with compelling Ovarian data) -- 2L+ watch &amp; wait </t>
  </si>
  <si>
    <t>KEY+LEN Endo</t>
  </si>
  <si>
    <t>Expect 3 other IO-based regimens in market</t>
  </si>
  <si>
    <t>4 other IO-based regimens in market</t>
  </si>
  <si>
    <t>2 other IO-based regimens in market</t>
  </si>
  <si>
    <t>6 other IO-based regimens in market</t>
  </si>
  <si>
    <t>1 other IO-based regimen in market</t>
  </si>
  <si>
    <t>Pallavi - GU &amp; HEME</t>
  </si>
  <si>
    <r>
      <t>Keytruda Adj RCC</t>
    </r>
    <r>
      <rPr>
        <b/>
        <sz val="10"/>
        <color rgb="FF000000"/>
        <rFont val="Invention"/>
        <family val="2"/>
      </rPr>
      <t>​</t>
    </r>
  </si>
  <si>
    <t xml:space="preserve">Medium </t>
  </si>
  <si>
    <t xml:space="preserve">overhang from several failed studies impacting Keytruda. Nivo mono still pending readout </t>
  </si>
  <si>
    <r>
      <t>Keytruda Bladder mUC</t>
    </r>
    <r>
      <rPr>
        <b/>
        <sz val="10"/>
        <color rgb="FF000000"/>
        <rFont val="Invention"/>
        <family val="2"/>
      </rPr>
      <t>​</t>
    </r>
  </si>
  <si>
    <t xml:space="preserve">Avelumab Maintenance </t>
  </si>
  <si>
    <r>
      <t>Keytruda Bladder NMIBC</t>
    </r>
    <r>
      <rPr>
        <b/>
        <sz val="10"/>
        <color rgb="FF000000"/>
        <rFont val="Invention"/>
        <family val="2"/>
      </rPr>
      <t>​</t>
    </r>
  </si>
  <si>
    <t xml:space="preserve">several recently approved  branded and chemo intravesical compeition </t>
  </si>
  <si>
    <t>Keytruda Bladder MIBC</t>
  </si>
  <si>
    <t xml:space="preserve">High </t>
  </si>
  <si>
    <t>Nivo has a first mover advantage with several other IOs pending readout</t>
  </si>
  <si>
    <t>Keytruda Heme​</t>
  </si>
  <si>
    <t xml:space="preserve">Nivo +chemo has a positive study (though not in label but will be in guidelines </t>
  </si>
  <si>
    <t>High++</t>
  </si>
  <si>
    <t>Extremely competitive with several TKIs approved in 2l+</t>
  </si>
  <si>
    <t>WELIREG VHL</t>
  </si>
  <si>
    <t xml:space="preserve"> (New)</t>
  </si>
  <si>
    <t xml:space="preserve">no other approved agent </t>
  </si>
  <si>
    <t>Wendy - Skin Cancers, GI/MSI-H &amp; LYNPARZA</t>
  </si>
  <si>
    <r>
      <t>Keytruda Skin Cancers</t>
    </r>
    <r>
      <rPr>
        <b/>
        <sz val="10"/>
        <color rgb="FF000000"/>
        <rFont val="Invention"/>
        <family val="2"/>
      </rPr>
      <t>​</t>
    </r>
  </si>
  <si>
    <t> BMS competitive launch in Stage IIB/IIC adj mel in Oct 2023; continued significant competitive pressure from BMS combos in advanced mel</t>
  </si>
  <si>
    <r>
      <rPr>
        <b/>
        <sz val="11"/>
        <color rgb="FF000000"/>
        <rFont val="Calibri"/>
        <family val="2"/>
      </rPr>
      <t>Keytruda Gastric</t>
    </r>
    <r>
      <rPr>
        <b/>
        <sz val="10"/>
        <color rgb="FF000000"/>
        <rFont val="Invention"/>
        <family val="2"/>
      </rPr>
      <t>​</t>
    </r>
  </si>
  <si>
    <r>
      <t>Opdivo and 2 new competitors – tislelizumab (PDL-1), zolbextuximab (Claudin 18.2).   </t>
    </r>
    <r>
      <rPr>
        <i/>
        <sz val="11"/>
        <color theme="1"/>
        <rFont val="Calibri"/>
        <family val="2"/>
        <charset val="1"/>
      </rPr>
      <t>Did not include LEAP-015 due to 12/24 approval estimate.</t>
    </r>
  </si>
  <si>
    <r>
      <t>Keytruda Esophageal</t>
    </r>
    <r>
      <rPr>
        <b/>
        <sz val="10"/>
        <color rgb="FF000000"/>
        <rFont val="Invention"/>
        <family val="2"/>
      </rPr>
      <t>​</t>
    </r>
  </si>
  <si>
    <r>
      <t>Opdivo and 2 new competitors – tislelizumab (PDL-1) and sintilimab (PDL-1)</t>
    </r>
    <r>
      <rPr>
        <sz val="11"/>
        <color rgb="FF000000"/>
        <rFont val="Calibri"/>
        <family val="2"/>
        <charset val="1"/>
      </rPr>
      <t> </t>
    </r>
  </si>
  <si>
    <r>
      <t>Keytruda MSI-H</t>
    </r>
    <r>
      <rPr>
        <b/>
        <sz val="10"/>
        <color rgb="FF000000"/>
        <rFont val="Invention"/>
        <family val="2"/>
      </rPr>
      <t>​</t>
    </r>
  </si>
  <si>
    <r>
      <t> </t>
    </r>
    <r>
      <rPr>
        <sz val="11"/>
        <color theme="1"/>
        <rFont val="Calibri"/>
        <family val="2"/>
        <charset val="1"/>
      </rPr>
      <t>Opdivo+Ipi approval in 1L MSI-H CRC</t>
    </r>
  </si>
  <si>
    <r>
      <t>Keytruda Biliary</t>
    </r>
    <r>
      <rPr>
        <b/>
        <sz val="10"/>
        <color rgb="FF000000"/>
        <rFont val="Invention"/>
        <family val="2"/>
      </rPr>
      <t>​</t>
    </r>
  </si>
  <si>
    <t>Imfinzi is only key branded competitor</t>
  </si>
  <si>
    <r>
      <t>Keytruda HCC</t>
    </r>
    <r>
      <rPr>
        <b/>
        <sz val="10"/>
        <color rgb="FF000000"/>
        <rFont val="Invention"/>
        <family val="2"/>
      </rPr>
      <t>​</t>
    </r>
  </si>
  <si>
    <t xml:space="preserve">In advanced HCC:  3 PDL-1 competitors (Imfinzi, Opdivo, Tecentriq) and Lenvima.   
Early-Stage HCC:   3 PDL-1 competitors (Imfinzi, Opdivo, Tecentriq).   </t>
  </si>
  <si>
    <r>
      <t>Lynparza Breast</t>
    </r>
    <r>
      <rPr>
        <b/>
        <sz val="10"/>
        <color rgb="FF000000"/>
        <rFont val="Invention"/>
        <family val="2"/>
      </rPr>
      <t>​</t>
    </r>
  </si>
  <si>
    <t xml:space="preserve">Rapidly competitive and rapidly evolving market with at least 3 eBC and 7 mBC trials, total 10 trials across TN and HR+ by YE’24.  This includes data and launches from IO, ADC, and CDK4/6 that dominate share of voice.  </t>
  </si>
  <si>
    <r>
      <t>Lynparza Ovarian</t>
    </r>
    <r>
      <rPr>
        <b/>
        <sz val="10"/>
        <color rgb="FF000000"/>
        <rFont val="Invention"/>
        <family val="2"/>
      </rPr>
      <t>​</t>
    </r>
  </si>
  <si>
    <t>Jayson - Thoracic (Lung &amp; H&amp;N)</t>
  </si>
  <si>
    <t>Keytruda mNSCLC</t>
  </si>
  <si>
    <t>High (Keytruda Lung as consolidated group)</t>
  </si>
  <si>
    <t>Lynparza Lung</t>
  </si>
  <si>
    <t>Both studies are in the mNSCLC space which has a large number of competitors which we expect to increase with TIGIT, ADCs, KRAS etc.</t>
  </si>
  <si>
    <t>Keytruda NeoAdj/Adj NSCLC</t>
  </si>
  <si>
    <t>Keytruda Mesothelioma</t>
  </si>
  <si>
    <t>Keytruda H&amp;N</t>
  </si>
  <si>
    <t xml:space="preserve">Low </t>
  </si>
  <si>
    <t>R/M H&amp;N: High
NAT/AT: Base</t>
  </si>
  <si>
    <t>* Refered Key H&amp;N</t>
  </si>
  <si>
    <t>Designation</t>
  </si>
  <si>
    <t>* Not Available</t>
  </si>
  <si>
    <t>* Not Included for the current run</t>
  </si>
  <si>
    <t>* Need to update</t>
  </si>
  <si>
    <t>* Weights will remain constant</t>
  </si>
  <si>
    <t>Indication/Tumor Name</t>
  </si>
  <si>
    <t xml:space="preserve">1. All values will auto-populate in the "Model Output" table. </t>
  </si>
  <si>
    <t>2. If the Model Output for more than one scenario needs to be captured - copy and paste the "values only" of the "Model Output" table to create separate tables for each scenario.</t>
  </si>
  <si>
    <t>a.  If this is done - update the formulas accordingly in the table captured in the output tables of Tab 4.2 to pull data for multiple scenarios</t>
  </si>
  <si>
    <t>Pulls from Tab 4.1</t>
  </si>
  <si>
    <t xml:space="preserve">Pulls from Tab 4.1b </t>
  </si>
  <si>
    <t>Model Output - Live</t>
  </si>
  <si>
    <t>2021 May FC</t>
  </si>
  <si>
    <t>2021 Aug FC</t>
  </si>
  <si>
    <t>Sales Fcst Budget</t>
  </si>
  <si>
    <t>Imp Rev Budget</t>
  </si>
  <si>
    <t>Comp Lands, Uniq Cust &amp; SF</t>
  </si>
  <si>
    <t>May FC</t>
  </si>
  <si>
    <t>Change (%)</t>
  </si>
  <si>
    <t>Change ($)</t>
  </si>
  <si>
    <t>Aug FC</t>
  </si>
  <si>
    <t>1. Sharon requested comparison of 2022 to 2021 post reduction tumor spends</t>
  </si>
  <si>
    <t>TOTAL HISTORICAL $ and %</t>
  </si>
  <si>
    <t>HISTORICAL HCP ONLY $ and %</t>
  </si>
  <si>
    <t>Workflow Mapping -&gt;</t>
  </si>
  <si>
    <t>HCP</t>
  </si>
  <si>
    <t>$</t>
  </si>
  <si>
    <t>%</t>
  </si>
  <si>
    <t>Plan $</t>
  </si>
  <si>
    <t>Consumer $</t>
  </si>
  <si>
    <t>HCP  $</t>
  </si>
  <si>
    <t>Total $</t>
  </si>
  <si>
    <t>Consumer %</t>
  </si>
  <si>
    <t>HCP %</t>
  </si>
  <si>
    <t>master list name</t>
  </si>
  <si>
    <t>Tumor HCP</t>
  </si>
  <si>
    <t>OCAR</t>
  </si>
  <si>
    <t>TOTAL</t>
  </si>
  <si>
    <t>1. Check HCP/Consumer Splits. The overarching split based on the Impactable Revenue Analysis in Tab 1.1 will auto-populate. Populate Lung/Non-Splits.</t>
  </si>
  <si>
    <t>2. Assign % weights for HCP/Consumer % splits between Impactable Revenue results from previous year and Plan for current year</t>
  </si>
  <si>
    <t xml:space="preserve">3. Assign the "Segment" for each tumor used to determine the Impactable Revenue HCP/Consumer Splits of the current year - either "Total", "Lung", "Non-Lung", or "Plan-Only." </t>
  </si>
  <si>
    <t xml:space="preserve">a. Select Plan-Only if the Impactable Revenue results won't be used at all to determine the HCP/Consumer Splits.  </t>
  </si>
  <si>
    <t>b. % and $ Values are auto-assigned</t>
  </si>
  <si>
    <t>4. If the $ Values need to be represented for multiple scenarios:</t>
  </si>
  <si>
    <t>a. Create another table on this tab to capture another set of HCP/Consumer "$ Values."</t>
  </si>
  <si>
    <t>b. Make sure Tab 3.6 is updated to capture outputs for multiple scenarios following the instructions on the tab</t>
  </si>
  <si>
    <t>c.  Update the VLOOKUP formulas for both tables on this tab to pull from the appropriate tables on Tab 3.6</t>
  </si>
  <si>
    <t>5. For Consumer results - the "creative" costs are pulled from Step 2 and distributed by tumor</t>
  </si>
  <si>
    <t>1. HCP/Consumer Splits - from Impactable Revenue Analysis:</t>
  </si>
  <si>
    <t xml:space="preserve">4.2.1 </t>
  </si>
  <si>
    <t>4.2.1</t>
  </si>
  <si>
    <t>Non-Lung</t>
  </si>
  <si>
    <t>Plan-Only</t>
  </si>
  <si>
    <t>Impactable Revenue Results HCP</t>
  </si>
  <si>
    <t>Impactable Revenue Results Consumer</t>
  </si>
  <si>
    <t>2. Enter Weights:</t>
  </si>
  <si>
    <t>Workflow Mapping:</t>
  </si>
  <si>
    <t>4.2.2</t>
  </si>
  <si>
    <t>Lung Impactable Revenue Results:</t>
  </si>
  <si>
    <t>Non-Lung Impactable Revenue Results:</t>
  </si>
  <si>
    <t>5. Distribute Tumor Creative Costs</t>
  </si>
  <si>
    <t>3. HCP/Consumer Split %'s and $ Values</t>
  </si>
  <si>
    <t>4. Update for multiple scenarios if needed</t>
  </si>
  <si>
    <t>4.2.3</t>
  </si>
  <si>
    <t>4.2.4 - Output: Scenario 1</t>
  </si>
  <si>
    <t>4.2.4 Output: Scenario 2</t>
  </si>
  <si>
    <t>Weighted Splits</t>
  </si>
  <si>
    <t>$ Values</t>
  </si>
  <si>
    <t>Consumer Creative + Media Cost</t>
  </si>
  <si>
    <t>Consumer%</t>
  </si>
  <si>
    <t>HCP%</t>
  </si>
  <si>
    <t>HCP $</t>
  </si>
  <si>
    <t>Creative $</t>
  </si>
  <si>
    <t>^ Share with Consumer</t>
  </si>
  <si>
    <t>^Share with Consumer</t>
  </si>
  <si>
    <t>Consumer modeled</t>
  </si>
  <si>
    <t>Consumer Tumor Creative</t>
  </si>
  <si>
    <t>Consumer Remaining Fixed</t>
  </si>
  <si>
    <t>Consumer to Nancy</t>
  </si>
  <si>
    <t>Instructions (mapped to 5.1.1):</t>
  </si>
  <si>
    <t>1. All values should auto-populate</t>
  </si>
  <si>
    <t>2. If the $ Values need to be represented for multiple scenarios:</t>
  </si>
  <si>
    <t xml:space="preserve">a. Create another column to capture total "HCP $" for the second scenario. </t>
  </si>
  <si>
    <t>b. Create two additional columns for "$ Values" on this tab to capture another set of HCP/Consumer split $ assignments</t>
  </si>
  <si>
    <t>c. Ensure Tabs 3.6 and 4.2 have been updated to capture outputs for multiple scenarios following the instructions on the tabs</t>
  </si>
  <si>
    <t xml:space="preserve">d.  Create a VLOOKUP formula for the column created in 4a to pull from the appropriate table on Tab 4.2. </t>
  </si>
  <si>
    <t>e. Create formulas to calculate the $ splits based on the %'s in the columns created in 4b.</t>
  </si>
  <si>
    <t>3. The ICE budget will be socialized with that team, who will return refined Tumor splits after conducting the CIA modeling process</t>
  </si>
  <si>
    <t>Pan HCP/Tumor Mcode &amp; Data Split:</t>
  </si>
  <si>
    <t>Pan HCP futher split:</t>
  </si>
  <si>
    <t>$ Values - Scenario 1</t>
  </si>
  <si>
    <t>$ Values - Scenario 2</t>
  </si>
  <si>
    <t>HCP $ - Scenario 1</t>
  </si>
  <si>
    <t>HCP $ - Scenario 2</t>
  </si>
  <si>
    <t>HCP Pan (incl. ICE &amp; MMF &amp; EMF Exec)</t>
  </si>
  <si>
    <t>Tumor Code</t>
  </si>
  <si>
    <t>ICE BUDGET</t>
  </si>
  <si>
    <t>MMF &amp; EMF Executional</t>
  </si>
  <si>
    <t>Remaining HCP Pan Budget</t>
  </si>
  <si>
    <t>Budget</t>
  </si>
  <si>
    <t>Current Funding</t>
  </si>
  <si>
    <t>Type for 2024 DOMINO</t>
  </si>
  <si>
    <t>Non-Modeled</t>
  </si>
  <si>
    <t>Digital Innovation and Consumer Analytics</t>
  </si>
  <si>
    <t>Onc Portfolio (new scope)</t>
  </si>
  <si>
    <t>Onc ADTs</t>
  </si>
  <si>
    <t>Precision Medicine</t>
  </si>
  <si>
    <t>Onc Omnichannel (new scope)</t>
  </si>
  <si>
    <t>[Plan B] LAG-3</t>
  </si>
  <si>
    <t>$4,200,659 – not in total</t>
  </si>
  <si>
    <t>Modeled Step 2 – becomes non-modeled if launch date pushed past 2024</t>
  </si>
  <si>
    <t>Pipeline and Portfolio Strategy (new)*</t>
  </si>
  <si>
    <t>Heme New Products**</t>
  </si>
  <si>
    <t>REBLOZYL</t>
  </si>
  <si>
    <t>TIGIT</t>
  </si>
  <si>
    <t>Onc Business Excellence</t>
  </si>
  <si>
    <t>Onc RML CoE</t>
  </si>
  <si>
    <t>CTLA-4</t>
  </si>
  <si>
    <t>TICE</t>
  </si>
  <si>
    <t>START</t>
  </si>
  <si>
    <t>Starting ONC budget/target from Finance</t>
  </si>
  <si>
    <t>Step1</t>
  </si>
  <si>
    <t>Step1 fixed ONC non product</t>
  </si>
  <si>
    <t>Step3</t>
  </si>
  <si>
    <t>Keytruda Consumer</t>
  </si>
  <si>
    <t>Keytruda Pan Tumor</t>
  </si>
  <si>
    <t>Keytruda CSE (ICE but not media)</t>
  </si>
  <si>
    <t>Lenvima Pan Tumor</t>
  </si>
  <si>
    <t>Lynparza Pan Tumor</t>
  </si>
  <si>
    <t>Lynparza Non-Collab</t>
  </si>
  <si>
    <t>Welireg Pan Tumor</t>
  </si>
  <si>
    <t>Keytruda Budget</t>
  </si>
  <si>
    <t>Keytruda Fixed budget</t>
  </si>
  <si>
    <t>Final Modellind Budget</t>
  </si>
  <si>
    <t>2023 DOMINO Consumer Focus Values (reference)</t>
  </si>
  <si>
    <t>I'm not sure yet!</t>
  </si>
  <si>
    <t>This one is new to me … need to discuss with team</t>
  </si>
  <si>
    <t>RCC patients activatable, so assume will mirror HCP on what they do for each based on forecase</t>
  </si>
  <si>
    <t>What does HCP have for Weli VHL?  Think we'd keep medium regardless because patients so hard to find in media</t>
  </si>
  <si>
    <t>Will mirror HCP prioritization on this forecast wise, but consumer activation high</t>
  </si>
  <si>
    <t>TBD</t>
  </si>
  <si>
    <t>We don't lead LYN so defer to them on category but BC consumer highly activatable</t>
  </si>
  <si>
    <t>In past "GI" budget encompassed all indications together so assume will stay high if HCP keeping it that way</t>
  </si>
  <si>
    <t>What is HCP for this?  Prior we have had this at low not sure if anything changed</t>
  </si>
  <si>
    <t>We don't lead LYN so defer to them on category and don't know much about this consumer group but would assume highly activatable since so few tx options</t>
  </si>
  <si>
    <t>NA</t>
  </si>
  <si>
    <t>KEYTRUDA GI </t>
  </si>
  <si>
    <t>OK</t>
  </si>
  <si>
    <t>DROP</t>
  </si>
  <si>
    <t>LENVIMA NEW INDICAT </t>
  </si>
  <si>
    <t>CHECK</t>
  </si>
  <si>
    <t>WELIREG TUMORS</t>
  </si>
  <si>
    <t>* Check these</t>
  </si>
  <si>
    <t>Notes:</t>
  </si>
  <si>
    <t>A. NPS data used in Tumor Prio just for Keytruda and Keytruda-Lynparza</t>
  </si>
  <si>
    <t>B. Columns colored green are calculated or extra information.</t>
  </si>
  <si>
    <t>Final Budget</t>
  </si>
  <si>
    <t>Weightage 2024</t>
  </si>
  <si>
    <t>Weightage 2025</t>
  </si>
  <si>
    <t>* Skin Cancer</t>
  </si>
  <si>
    <t>Last Time:  50% of Len/Lyn and 100% of Key</t>
  </si>
  <si>
    <t>A. Copy-Pasted the NPS data used in Tumor Prio just for Keytruda and Keytruda-Lynparza from Raw NPS Data Tab</t>
  </si>
  <si>
    <t>1. Copy-pasted the raw NPS data from Tumor Prio workbook.</t>
  </si>
  <si>
    <t>1. Copy-pasted the raw sales data from Tumor Prio workbook.</t>
  </si>
  <si>
    <t>Note:</t>
  </si>
  <si>
    <t>1. Launch dates are at NPS level.</t>
  </si>
  <si>
    <t>NPS Mapping</t>
  </si>
  <si>
    <t>&lt;-  Select the Finance Mapping and it will give you the NPS info for it</t>
  </si>
  <si>
    <t>ROE Min</t>
  </si>
  <si>
    <t>ROE Max</t>
  </si>
  <si>
    <t>Domino ($547M start)</t>
  </si>
  <si>
    <t>Recommend Budget (adj using RF)</t>
  </si>
  <si>
    <t>Domino ($603M start)</t>
  </si>
  <si>
    <t>Recommended Budget</t>
  </si>
  <si>
    <t>FAVE</t>
  </si>
  <si>
    <t>n/a</t>
  </si>
  <si>
    <t>Domino Start Budget</t>
  </si>
  <si>
    <t>Ringfence</t>
  </si>
  <si>
    <t>Lung Family</t>
  </si>
  <si>
    <t>Melanoma Family</t>
  </si>
  <si>
    <t>GI Cancers Family</t>
  </si>
  <si>
    <t>MSI-H Family less Endo</t>
  </si>
  <si>
    <t>H&amp;N Cancers Family</t>
  </si>
  <si>
    <t>Heme Family</t>
  </si>
  <si>
    <t>GU Cancers Family</t>
  </si>
  <si>
    <t>Keytruda - Advanced RCC</t>
  </si>
  <si>
    <t xml:space="preserve">Lynparza - Prostate </t>
  </si>
  <si>
    <t>Breast Cancers Family</t>
  </si>
  <si>
    <t>Gyn Cancers Family</t>
  </si>
  <si>
    <t>New Products - All Families</t>
  </si>
  <si>
    <t>1. The information is pulled from Tumor Prio workbook</t>
  </si>
  <si>
    <t>2. Keytruda Advanced RCC - Stopped promoting</t>
  </si>
  <si>
    <t>3. We don't get NPS data for Lynparza products</t>
  </si>
  <si>
    <t>* Key + Len - Advanced RCC  - Remove</t>
  </si>
  <si>
    <t>2. Columns colored green are calculated or mapped.</t>
  </si>
  <si>
    <t xml:space="preserve">2. First column colored pink is for 100% profit share and 2nd column colored blue is for actual profit share. </t>
  </si>
  <si>
    <t>3. For Lenvima and Lynparza, we take 50% profit share.</t>
  </si>
  <si>
    <t>1. Taken from Tumor Prio workbook.</t>
  </si>
  <si>
    <t>2. For Keytruda, Welireg and Fave we will take 100% of profit share. And for Lenvima &amp; Lynparza we will take 50% of profit share.</t>
  </si>
  <si>
    <t>Not Given</t>
  </si>
  <si>
    <t>1. Taken from the Tumor Prio Final Workbook: "V2024_May 23 LROP Tumor Prio Model - 06.2023 - Indication Splits_v2"</t>
  </si>
  <si>
    <t>2. If a product has 2 or more launch dates at Finance level. We will pick the launch date based on the indications having high sales or NPS.</t>
  </si>
  <si>
    <t>2023 M-Code</t>
  </si>
  <si>
    <t>2023 Description</t>
  </si>
  <si>
    <t>Need in 2024?</t>
  </si>
  <si>
    <t>2024 Description</t>
  </si>
  <si>
    <t>Marketing Leader</t>
  </si>
  <si>
    <t>M.0038881</t>
  </si>
  <si>
    <t>KEYTRUDA CONSUMER </t>
  </si>
  <si>
    <t>Yes</t>
  </si>
  <si>
    <t>Nancy Ibach</t>
  </si>
  <si>
    <t>M.0038880</t>
  </si>
  <si>
    <t>KEYTRUDA PAN TUMOR </t>
  </si>
  <si>
    <t>M.0038866</t>
  </si>
  <si>
    <t>ONC OMNICHANNEL </t>
  </si>
  <si>
    <t>OTHER</t>
  </si>
  <si>
    <t>Dana Rodden</t>
  </si>
  <si>
    <t>M.0038895</t>
  </si>
  <si>
    <t>ONC MKT ACCESS </t>
  </si>
  <si>
    <t>Eliott Zarett</t>
  </si>
  <si>
    <t>M.0038872</t>
  </si>
  <si>
    <t>ONCOLOGY PORTFOLIO </t>
  </si>
  <si>
    <t>Dennis Flannelly</t>
  </si>
  <si>
    <t>M.0039084</t>
  </si>
  <si>
    <t>ONC BUSINESS EXCELLENCE </t>
  </si>
  <si>
    <t>M.0038871</t>
  </si>
  <si>
    <t>ONC ADT DIGITAL CUSTOMER ENGAGE </t>
  </si>
  <si>
    <t>M.0039085</t>
  </si>
  <si>
    <t>ONC NEW PRODUCTS </t>
  </si>
  <si>
    <t>ONC PIPELINE AND PORTFOLIO STRAT</t>
  </si>
  <si>
    <t>M.0039083</t>
  </si>
  <si>
    <t>CTLA-4 (MK-1308) </t>
  </si>
  <si>
    <t>MK-1308</t>
  </si>
  <si>
    <t>M.0038890</t>
  </si>
  <si>
    <t>TIGIT (MK-7684A) </t>
  </si>
  <si>
    <t>MK-7684A</t>
  </si>
  <si>
    <t>M.0038889</t>
  </si>
  <si>
    <t>LAG3 (MK-4280A) </t>
  </si>
  <si>
    <t>LAG-3 (MK-4280A)</t>
  </si>
  <si>
    <t>MK-4280A</t>
  </si>
  <si>
    <t>M.0038882</t>
  </si>
  <si>
    <t>PRECISION MEDICINE COE </t>
  </si>
  <si>
    <t>PRECISION MEDICINE</t>
  </si>
  <si>
    <t>M.0038847</t>
  </si>
  <si>
    <t>HEME BTKi (MK-1026) </t>
  </si>
  <si>
    <t>MK-1026</t>
  </si>
  <si>
    <t>Pallavi Bansal</t>
  </si>
  <si>
    <t>M.0038897</t>
  </si>
  <si>
    <t>HEME ROR1 (MK-2140) </t>
  </si>
  <si>
    <t>MK-2140</t>
  </si>
  <si>
    <t>M.0038888</t>
  </si>
  <si>
    <t>ONC RML COE </t>
  </si>
  <si>
    <t>Jayson Wenstrup</t>
  </si>
  <si>
    <t>M.0038911</t>
  </si>
  <si>
    <t>Pan GU </t>
  </si>
  <si>
    <t>M.0038873</t>
  </si>
  <si>
    <t>KEYTRUDA LUNG </t>
  </si>
  <si>
    <t>M.0038874</t>
  </si>
  <si>
    <t>KEYTRUDA SKIN CANCER </t>
  </si>
  <si>
    <t>Wendy Woodward</t>
  </si>
  <si>
    <t>M.0038875</t>
  </si>
  <si>
    <t>KEYTRUDA H&amp;N </t>
  </si>
  <si>
    <t>M.0038877</t>
  </si>
  <si>
    <t>KEYTRUDA BREAST CANC </t>
  </si>
  <si>
    <t>Mike Stanton</t>
  </si>
  <si>
    <t>M.0038896</t>
  </si>
  <si>
    <t>KEYTRUDA GYN CANCER </t>
  </si>
  <si>
    <t>KEYTRUDA ENDOMETRIAL</t>
  </si>
  <si>
    <t>M.0038876</t>
  </si>
  <si>
    <t>KEYTRUDA BLAD - mUC </t>
  </si>
  <si>
    <t>M.0039072</t>
  </si>
  <si>
    <t>KEYTRUDA BLAD - NMIBC </t>
  </si>
  <si>
    <t>M.0038883</t>
  </si>
  <si>
    <t>KEYTRUDA BLAD - MIBC </t>
  </si>
  <si>
    <t>M.0039073</t>
  </si>
  <si>
    <t>KEYTRUDA PROSTATE </t>
  </si>
  <si>
    <t>No</t>
  </si>
  <si>
    <t>M.0038848</t>
  </si>
  <si>
    <t>TICE </t>
  </si>
  <si>
    <t>M.0039071</t>
  </si>
  <si>
    <t>KEYTRUDA ADJUVANT RCC </t>
  </si>
  <si>
    <t>M.0038878</t>
  </si>
  <si>
    <t>KEYTRUDA HEME / cHL </t>
  </si>
  <si>
    <t>M.0038879</t>
  </si>
  <si>
    <t>M.0038891</t>
  </si>
  <si>
    <t>LENVIMA PAN TUMOR </t>
  </si>
  <si>
    <t>M.0038893</t>
  </si>
  <si>
    <t>LENVIMA RCC </t>
  </si>
  <si>
    <t>M.0038894</t>
  </si>
  <si>
    <t>LENVIMA HCC </t>
  </si>
  <si>
    <t>M.0038869</t>
  </si>
  <si>
    <t>LENVIMA ENDOMETRIAL </t>
  </si>
  <si>
    <t>M.0039076</t>
  </si>
  <si>
    <t>LENVIMA MELANOMA </t>
  </si>
  <si>
    <t>M.0039081</t>
  </si>
  <si>
    <t>LENVIMA LUNG </t>
  </si>
  <si>
    <t>M.0039074</t>
  </si>
  <si>
    <t>LENVIMA COLORECTAL </t>
  </si>
  <si>
    <t>M.0039075</t>
  </si>
  <si>
    <t>LENVIMA H&amp;N </t>
  </si>
  <si>
    <t>M.0038898</t>
  </si>
  <si>
    <t>LENVIMA GASTRIC</t>
  </si>
  <si>
    <t>M.0038870</t>
  </si>
  <si>
    <t>LYNPARZA NON-COLLAB </t>
  </si>
  <si>
    <t>M.0039047</t>
  </si>
  <si>
    <t>LYNPARZA PROSTATE </t>
  </si>
  <si>
    <t>M.0039048</t>
  </si>
  <si>
    <t>LYNPARZA PANCREAS </t>
  </si>
  <si>
    <t>M.0038899</t>
  </si>
  <si>
    <t>LYNPARZA PAN TUMOR </t>
  </si>
  <si>
    <t>M.0038885</t>
  </si>
  <si>
    <t>LYNPARZA OVARIAN </t>
  </si>
  <si>
    <t>M.0038910</t>
  </si>
  <si>
    <t>LYNPARZA BREAST </t>
  </si>
  <si>
    <t>M.0038846</t>
  </si>
  <si>
    <t>WELIREG </t>
  </si>
  <si>
    <t>M.0039082</t>
  </si>
  <si>
    <t>REBLOZYL </t>
  </si>
  <si>
    <t>NEW IN 2024</t>
  </si>
  <si>
    <t>WELIREG PAN TUMOR</t>
  </si>
  <si>
    <t>KEYTRUDA CSE (ICE)</t>
  </si>
  <si>
    <t>DIG INNOV AND CONS ANALYTICS</t>
  </si>
  <si>
    <t>KEYTRUDA CERVICAL</t>
  </si>
  <si>
    <t>KEYTRUDA OVARIAN AND GYN</t>
  </si>
  <si>
    <t>* Refered from the file: "2024 M-Codes Needed from Miranda 6-22-23"</t>
  </si>
  <si>
    <t>Keytruda - Advanced Melanoma</t>
  </si>
  <si>
    <t>Keytruda - HCC</t>
  </si>
  <si>
    <t>Keytruda - Recurrent/Metastatic H&amp;N</t>
  </si>
  <si>
    <t>Keytruda - Neoadjuvant &amp; adjuvant H&amp;N</t>
  </si>
  <si>
    <t>* Shared by Blythe</t>
  </si>
  <si>
    <t>* Final MCODE Mapping: Removed Finance code having launch year in 2026 (Will update the values once received by Michael)</t>
  </si>
  <si>
    <t>1. Based on SAP data and information shared by Miranda</t>
  </si>
  <si>
    <t>* Finance mapping with No MCODE have been dropped because of Future launch year &gt; 2026</t>
  </si>
  <si>
    <t>* Based on NPS Data</t>
  </si>
  <si>
    <t xml:space="preserve"> </t>
  </si>
  <si>
    <t>* we should also include Nov and Dec 2023 launches</t>
  </si>
  <si>
    <t>1L Gastric</t>
  </si>
  <si>
    <t>Dec'23</t>
  </si>
  <si>
    <t>Keytruda Adj RCC</t>
  </si>
  <si>
    <t>Keytruda Blad - mUC</t>
  </si>
  <si>
    <t>Keytruda Blad NMIBC</t>
  </si>
  <si>
    <t>Keytruda Breast Canc</t>
  </si>
  <si>
    <t>Keytruda GI</t>
  </si>
  <si>
    <t>Keytruda Gyn Cancer</t>
  </si>
  <si>
    <t>Keytruda Heme/cHL</t>
  </si>
  <si>
    <t>Keytruda Lung</t>
  </si>
  <si>
    <t>Keytruda Skin Cancer</t>
  </si>
  <si>
    <t>Tumor Mcodes May23 FC (2023 Modeled $)</t>
  </si>
  <si>
    <t>2023 FINAL</t>
  </si>
  <si>
    <t>Total less CDX and Pan GU</t>
  </si>
  <si>
    <t>Keytruda Pan GU</t>
  </si>
  <si>
    <t>Keytruda Precision Med</t>
  </si>
  <si>
    <t>Keytruda Prostate</t>
  </si>
  <si>
    <t>Other Tumor Mcodes</t>
  </si>
  <si>
    <t>ICE Media</t>
  </si>
  <si>
    <t>HCP PAN $ in yellow (2023 from May23 FC)</t>
  </si>
  <si>
    <t>ICE 2023 Plan - May23 Fcst</t>
  </si>
  <si>
    <t>GPO</t>
  </si>
  <si>
    <t>MMF</t>
  </si>
  <si>
    <t>Consumer</t>
  </si>
  <si>
    <t>CONSUMER PAN MCODE (2023 Modeled $)</t>
  </si>
  <si>
    <t>2023 Plan</t>
  </si>
  <si>
    <t>Lung 2023 Plan:</t>
  </si>
  <si>
    <t>Non-Lung 2023 Plan:</t>
  </si>
  <si>
    <t>2022 Impactable Revenue Results</t>
  </si>
  <si>
    <t>PROMO-US-2024 KEYTRUDA GI</t>
  </si>
  <si>
    <t>PROMO-US-2024 KEYTRUDA CERVICAL</t>
  </si>
  <si>
    <t>PROMO-US-2024 LAG-3 (MK-4280A)</t>
  </si>
  <si>
    <t>PROMO-US-2024 KEYTRUDA H&amp;N</t>
  </si>
  <si>
    <t>PROMO-US-2024 New Product</t>
  </si>
  <si>
    <t>PROMO-US-2024 KEYTRUDA ENDOMETRIAL</t>
  </si>
  <si>
    <t>PROMO-US-2024 LENVIMA ENDOMETRIAL</t>
  </si>
  <si>
    <t>PROMO-US-2024 New Product/Indication</t>
  </si>
  <si>
    <t>PROMO-US-2024 LENVIMA H&amp;N</t>
  </si>
  <si>
    <t>PROMO-US-2024 KEYTRUDA HEME / cHL</t>
  </si>
  <si>
    <t>PROMO-US-2024 KEYTRUDA BREAST CANC</t>
  </si>
  <si>
    <t>PROMO-US-2024 KEYTRUDA SKIN CANCER</t>
  </si>
  <si>
    <t>PROMO-US-2024 KEYTRUDA LUNG</t>
  </si>
  <si>
    <t>PROMO-US-2024 KEYTRUDA BLAD - mUC</t>
  </si>
  <si>
    <t>PROMO-US-2024 KEYTRUDA BLAD - MIBC</t>
  </si>
  <si>
    <t>PROMO-US-2024 KEYTRUDA BLAD -NMIBC</t>
  </si>
  <si>
    <t>PROMO-US-2024 LENVIMA LUNG</t>
  </si>
  <si>
    <t>PROMO-US-2024 KEYTRUDA OVARIAN AND GYN</t>
  </si>
  <si>
    <t>PROMO-US-2024 LENVIMA RCC</t>
  </si>
  <si>
    <t>PROMO-US-2024 KEYTRUDA ADJUVANT RCC</t>
  </si>
  <si>
    <t>PROMO-US-2024 WELIREG TUMORS</t>
  </si>
  <si>
    <t>This yr added Consumer Creative to modeled - last year it was fixed</t>
  </si>
  <si>
    <t>* Referred 2023 Launches</t>
  </si>
  <si>
    <t>PROMO-US-2024 LENVIMA GASTRIC</t>
  </si>
  <si>
    <t>New Indication - 2024 * Updated</t>
  </si>
  <si>
    <t>future launch</t>
  </si>
  <si>
    <t>no promote</t>
  </si>
  <si>
    <t>not NA; TBD; cell C5</t>
  </si>
  <si>
    <t>high like rest of skin</t>
  </si>
  <si>
    <t>high like rest of Lung</t>
  </si>
  <si>
    <t>per Ali email</t>
  </si>
  <si>
    <t>are these all future launch?</t>
  </si>
  <si>
    <t>*future launch</t>
  </si>
  <si>
    <t>* Same as MSI / remove your note; add future launch</t>
  </si>
  <si>
    <t>does no mcode mean future launch?</t>
  </si>
  <si>
    <t>High; don’t label</t>
  </si>
  <si>
    <t>High; don't label</t>
  </si>
  <si>
    <t>not promoting</t>
  </si>
  <si>
    <t>High - don't value</t>
  </si>
  <si>
    <t>used Key Ovarian &amp; Lyn Ovarian are high</t>
  </si>
  <si>
    <t>does no mcode mean future launch? AB: Yes</t>
  </si>
  <si>
    <t>Modified Designation</t>
  </si>
  <si>
    <t>* High ++ (Need to confirm)</t>
  </si>
  <si>
    <t>Planing Year and Assumptions:</t>
  </si>
  <si>
    <t>* 2026 launch date</t>
  </si>
  <si>
    <t>* No Sales Data but has NPS data</t>
  </si>
  <si>
    <t>Variable</t>
  </si>
  <si>
    <t>KEY Weight</t>
  </si>
  <si>
    <t>LEN Weight</t>
  </si>
  <si>
    <t>LYN Weight</t>
  </si>
  <si>
    <t>WEL Weight</t>
  </si>
  <si>
    <t>Forecast sales</t>
  </si>
  <si>
    <t>Impactable revenue</t>
  </si>
  <si>
    <t>Consumer Focus Prio</t>
  </si>
  <si>
    <t>Multifactor -competitive landscape, unique customer</t>
  </si>
  <si>
    <t>This is 2023 actl/plan $ captured in terms of 2024 mcode breakout; data comes from individual stakeholders since can only get Tumor mcode from SAP</t>
  </si>
  <si>
    <t>Tumor HCP Mcode</t>
  </si>
  <si>
    <t xml:space="preserve">Keytruda - Neo-adj. &amp; Adj. NSCLC </t>
  </si>
  <si>
    <t>Value</t>
  </si>
  <si>
    <t>Keytruda - Adv. Melanoma</t>
  </si>
  <si>
    <t>Keytruda - Adj. Melanoma - Stage II &amp; III</t>
  </si>
  <si>
    <t>Keytruda - Gastric</t>
  </si>
  <si>
    <t>Keytruda - Esophageal</t>
  </si>
  <si>
    <t>Keytruda - MSI-H  CRC</t>
  </si>
  <si>
    <t>Keytruda - MSI-H - Other Tumors</t>
  </si>
  <si>
    <t>Keytruda - R/M H&amp;N</t>
  </si>
  <si>
    <t>Keytruda - Bladder</t>
  </si>
  <si>
    <t>Keytruda - Neo-adj. &amp; Adj. TNBC</t>
  </si>
  <si>
    <t>Keytruda - Endometrial</t>
  </si>
  <si>
    <t>Keytruda - Adj Endometrial</t>
  </si>
  <si>
    <t>Keytruda - LA Cervical</t>
  </si>
  <si>
    <t xml:space="preserve">Key (Key + Lyn NSCLC Combo) </t>
  </si>
  <si>
    <t>Key (Key + Lyn - Ovarian Combo)</t>
  </si>
  <si>
    <t>Keytruda-Lenvima Gastric</t>
  </si>
  <si>
    <t>Lenvima HCC</t>
  </si>
  <si>
    <t>Keytruda-Lenvima NSCLC</t>
  </si>
  <si>
    <t>Keytruda-Lenvima RCC</t>
  </si>
  <si>
    <t>Keytruda-Lenvima R/M H&amp;N</t>
  </si>
  <si>
    <t>Surgeons</t>
  </si>
  <si>
    <t>Urologists</t>
  </si>
  <si>
    <t>Neuros &amp; Urologists</t>
  </si>
  <si>
    <t>Mod Competitive  Landscape</t>
  </si>
  <si>
    <t>Mod Unique Customer Segment</t>
  </si>
  <si>
    <t>PROMO-US-2022 KEYTRUDA BILIARY</t>
  </si>
  <si>
    <t>PROMO-US-2022 KEYTRUDA BLAD - mUC</t>
  </si>
  <si>
    <t>PROMO-US-2022 KEYTRUDA BLAD -NMIBC</t>
  </si>
  <si>
    <t>PROMO-US-2022 KEYTRUDA BREAST CANC</t>
  </si>
  <si>
    <t>PROMO-US-2022 KEYTRUDA ESOPHAGEAL</t>
  </si>
  <si>
    <t>PROMO-US-2022 KEYTRUDA GASTRIC</t>
  </si>
  <si>
    <t>PROMO-US-2022 KEYTRUDA GYN CANCER</t>
  </si>
  <si>
    <t>PROMO-US-2022 KEYTRUDA H&amp;N</t>
  </si>
  <si>
    <t>PROMO-US-2022 KEYTRUDA HEMATOLOGY</t>
  </si>
  <si>
    <t>PROMO-US-2022 KEYTRUDA KIDNEY RCC</t>
  </si>
  <si>
    <t>PROMO-US-2022 KEYTRUDA LIVER HCC</t>
  </si>
  <si>
    <t>PROMO-US-2022 KEYTRUDA LUNG</t>
  </si>
  <si>
    <t>PROMO-US-2022 KEYTRUDA MSI-H</t>
  </si>
  <si>
    <t>PROMO-US-2022 KEYTRUDA MSS CRC</t>
  </si>
  <si>
    <t>PROMO-US-2022 KEYTRUDA PROSTATE</t>
  </si>
  <si>
    <t>PROMO-US-2022 KEYTRUDA SKIN CANCER</t>
  </si>
  <si>
    <t>Model Output - Scenario 1</t>
  </si>
  <si>
    <t>do not use</t>
  </si>
  <si>
    <t>Model Output - Scenario 2</t>
  </si>
  <si>
    <t>Comp Landscape &amp; Unique Customer</t>
  </si>
  <si>
    <t xml:space="preserve">Comp Lands, Uniq Cust </t>
  </si>
  <si>
    <t>Includes MMF &amp; GPO</t>
  </si>
  <si>
    <t>Keytruda Pan Tumor (ICE, MMF)</t>
  </si>
  <si>
    <t>2023 plan - May forecast</t>
  </si>
  <si>
    <t>ICE</t>
  </si>
  <si>
    <t>2024 DOMINO</t>
  </si>
  <si>
    <t>Tumor Code (incl. MMF/GPO Exec)</t>
  </si>
  <si>
    <t>HCP Pan ICE</t>
  </si>
  <si>
    <t>Pan ICE</t>
  </si>
  <si>
    <t>incl MMF/GPO</t>
  </si>
  <si>
    <t>(use 2023 totals)</t>
  </si>
  <si>
    <t>(use 2023 tumor split)</t>
  </si>
  <si>
    <t>Key Total</t>
  </si>
  <si>
    <t>Key Lung</t>
  </si>
  <si>
    <t>Key Non-Lung</t>
  </si>
  <si>
    <t>Step 4: HCP/Consumer Indication Split DOMINO 2024 LESS TV &amp; Pan-Tumor which are fixed</t>
  </si>
  <si>
    <t>*Dec'23 Launch</t>
  </si>
  <si>
    <t>Current Run</t>
  </si>
  <si>
    <t>Overall % Distribution</t>
  </si>
  <si>
    <t>MCODE % Distribution</t>
  </si>
  <si>
    <t>a.  If this is done - update the formulas accordingly in the table captured in the output tables of Tab 3.2 to pull data for multiple scenarios</t>
  </si>
  <si>
    <t>Pulls from Tab 3.1</t>
  </si>
  <si>
    <t>Previous Run</t>
  </si>
  <si>
    <t>GI Total</t>
  </si>
  <si>
    <t>GYN total (Endo, Ovarian, Cervical)</t>
  </si>
  <si>
    <t>adj RCC</t>
  </si>
  <si>
    <t>mUC</t>
  </si>
  <si>
    <t>Breast</t>
  </si>
  <si>
    <t>Endo</t>
  </si>
  <si>
    <t>GI</t>
  </si>
  <si>
    <t>H&amp;N</t>
  </si>
  <si>
    <t>Skin</t>
  </si>
  <si>
    <t>#launches</t>
  </si>
  <si>
    <t># Ttl Records</t>
  </si>
  <si>
    <t>orig was 3/3; I changed it</t>
  </si>
  <si>
    <t>Comment</t>
  </si>
  <si>
    <t>1 ind; 1 new tumor biliary (prio=M)</t>
  </si>
  <si>
    <t>2 ind (Lung Adj &amp; Key-Lyn); 1 tumor (Mesothe.=L)</t>
  </si>
  <si>
    <t xml:space="preserve">Head &amp; Neck </t>
  </si>
  <si>
    <t>align 2024 to 2023 budget $</t>
  </si>
  <si>
    <t>decrease - see Notes tab for explanation</t>
  </si>
  <si>
    <t>Domino 2024</t>
  </si>
  <si>
    <t>Domino 2023</t>
  </si>
  <si>
    <t>2023 MayFcst</t>
  </si>
  <si>
    <t>R/M is Mature but LA H&amp;N Locally Advanced is launch planning year</t>
  </si>
  <si>
    <t xml:space="preserve">Domino 2024 - sales decline foe loss of LA H&amp;N - </t>
  </si>
  <si>
    <t>Consuner Media</t>
  </si>
  <si>
    <t>Consumer Creative</t>
  </si>
  <si>
    <t>HCP (Tumoe/ICE/MMF/GPO)</t>
  </si>
  <si>
    <t>% 2023</t>
  </si>
  <si>
    <t>% 2024</t>
  </si>
  <si>
    <t>2023 Consumer Plan</t>
  </si>
  <si>
    <t>2023 Mcode Actual/Plan</t>
  </si>
  <si>
    <t>align 24 to 23 MayFcst</t>
  </si>
  <si>
    <t>less MIBC</t>
  </si>
  <si>
    <t>Consumer Fixed</t>
  </si>
  <si>
    <t>Total Consumer</t>
  </si>
  <si>
    <t>MIBC ICE would come from tumor mcode if needed (launch 2025)</t>
  </si>
  <si>
    <t>2024 DomTotal</t>
  </si>
  <si>
    <t>Domino  w/ MLT Trade-off version</t>
  </si>
  <si>
    <t>*  change to high per Daniel/Deb 7/17/23 from discussion with Jeff S.</t>
  </si>
  <si>
    <t>Tumor Mcode (incl GPO)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</si>
</sst>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"/>
    <numFmt numFmtId="166" formatCode="#,##0.0_);[Red]\(#,##0.0\)"/>
    <numFmt numFmtId="167" formatCode="_(\ #,##0_);_(\ \(#,##0\);_(* &quot;-&quot;??_);_(@_)"/>
    <numFmt numFmtId="168" formatCode="&quot;$&quot;#,##0.00"/>
    <numFmt numFmtId="169" formatCode="&quot;$&quot;#,##0.0"/>
    <numFmt numFmtId="170" formatCode="0.000"/>
    <numFmt numFmtId="171" formatCode="0.0%"/>
    <numFmt numFmtId="172" formatCode="_(&quot;$&quot;* #,##0_);_(&quot;$&quot;* \(#,##0\);_(&quot;$&quot;* &quot;-&quot;??_);_(@_)"/>
    <numFmt numFmtId="173" formatCode="_(* #,##0_);_(* \(#,##0\);_(* &quot;-&quot;??_);_(@_)"/>
    <numFmt numFmtId="174" formatCode="0.000%"/>
    <numFmt numFmtId="175" formatCode="0.00000"/>
    <numFmt numFmtId="176" formatCode="&quot;$&quot;#,##0.000"/>
  </numFmts>
  <fonts count="8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b/>
      <sz val="12"/>
      <color rgb="FFFFFFFF"/>
      <name val="Arial"/>
      <family val="2"/>
    </font>
    <font>
      <b/>
      <sz val="16"/>
      <color indexed="9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indexed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trike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strike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rgb="FF000000"/>
      <name val="Invention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10.5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0.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trike/>
      <sz val="1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12" fillId="0" borderId="0"/>
    <xf numFmtId="0" fontId="7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4" fillId="0" borderId="0" applyNumberFormat="0" applyFill="0" applyBorder="0" applyAlignment="0" applyProtection="0"/>
  </cellStyleXfs>
  <cellXfs count="109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9" fontId="0" fillId="3" borderId="1" xfId="2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6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6" fontId="0" fillId="3" borderId="0" xfId="0" applyNumberFormat="1" applyFill="1"/>
    <xf numFmtId="0" fontId="0" fillId="3" borderId="2" xfId="0" applyFill="1" applyBorder="1" applyAlignment="1">
      <alignment vertical="center" wrapText="1"/>
    </xf>
    <xf numFmtId="165" fontId="0" fillId="3" borderId="2" xfId="0" applyNumberFormat="1" applyFill="1" applyBorder="1" applyAlignment="1">
      <alignment horizontal="center" vertical="center" wrapText="1"/>
    </xf>
    <xf numFmtId="9" fontId="0" fillId="3" borderId="2" xfId="2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5" fontId="0" fillId="0" borderId="0" xfId="0" applyNumberFormat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7" borderId="0" xfId="3" quotePrefix="1" applyFont="1" applyFill="1" applyAlignment="1">
      <alignment horizontal="center" vertical="center" wrapText="1"/>
    </xf>
    <xf numFmtId="0" fontId="8" fillId="7" borderId="7" xfId="3" quotePrefix="1" applyFont="1" applyFill="1" applyBorder="1" applyAlignment="1">
      <alignment horizontal="center" vertical="center" wrapText="1"/>
    </xf>
    <xf numFmtId="0" fontId="8" fillId="8" borderId="8" xfId="3" quotePrefix="1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/>
    </xf>
    <xf numFmtId="0" fontId="10" fillId="7" borderId="1" xfId="3" quotePrefix="1" applyFont="1" applyFill="1" applyBorder="1" applyAlignment="1">
      <alignment horizontal="center" vertical="center" wrapText="1"/>
    </xf>
    <xf numFmtId="0" fontId="10" fillId="8" borderId="1" xfId="3" quotePrefix="1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/>
    </xf>
    <xf numFmtId="0" fontId="11" fillId="10" borderId="10" xfId="4" applyFont="1" applyFill="1" applyBorder="1" applyAlignment="1">
      <alignment horizontal="center" vertical="center" wrapText="1"/>
    </xf>
    <xf numFmtId="0" fontId="11" fillId="8" borderId="10" xfId="4" applyFont="1" applyFill="1" applyBorder="1" applyAlignment="1">
      <alignment horizontal="center" vertical="center" wrapText="1"/>
    </xf>
    <xf numFmtId="0" fontId="13" fillId="11" borderId="1" xfId="5" applyFont="1" applyFill="1" applyBorder="1" applyAlignment="1">
      <alignment horizontal="left" vertical="center"/>
    </xf>
    <xf numFmtId="38" fontId="14" fillId="11" borderId="1" xfId="6" applyNumberFormat="1" applyFont="1" applyFill="1" applyBorder="1" applyAlignment="1">
      <alignment horizontal="center" vertical="center"/>
    </xf>
    <xf numFmtId="0" fontId="15" fillId="8" borderId="1" xfId="0" applyFont="1" applyFill="1" applyBorder="1"/>
    <xf numFmtId="0" fontId="13" fillId="12" borderId="1" xfId="5" applyFont="1" applyFill="1" applyBorder="1" applyAlignment="1">
      <alignment horizontal="left" vertical="center" indent="2"/>
    </xf>
    <xf numFmtId="38" fontId="13" fillId="12" borderId="1" xfId="6" applyNumberFormat="1" applyFont="1" applyFill="1" applyBorder="1" applyAlignment="1">
      <alignment horizontal="center" vertical="center"/>
    </xf>
    <xf numFmtId="0" fontId="13" fillId="8" borderId="1" xfId="0" applyFont="1" applyFill="1" applyBorder="1"/>
    <xf numFmtId="0" fontId="16" fillId="0" borderId="1" xfId="5" applyFont="1" applyBorder="1" applyAlignment="1">
      <alignment horizontal="left" vertical="center" indent="3"/>
    </xf>
    <xf numFmtId="38" fontId="17" fillId="0" borderId="1" xfId="6" applyNumberFormat="1" applyFont="1" applyBorder="1" applyAlignment="1">
      <alignment horizontal="center" vertical="center"/>
    </xf>
    <xf numFmtId="0" fontId="18" fillId="12" borderId="1" xfId="5" applyFont="1" applyFill="1" applyBorder="1" applyAlignment="1">
      <alignment horizontal="left" vertical="center" indent="2"/>
    </xf>
    <xf numFmtId="38" fontId="19" fillId="12" borderId="1" xfId="6" applyNumberFormat="1" applyFont="1" applyFill="1" applyBorder="1" applyAlignment="1">
      <alignment horizontal="center" vertical="center"/>
    </xf>
    <xf numFmtId="0" fontId="14" fillId="8" borderId="1" xfId="0" applyFont="1" applyFill="1" applyBorder="1"/>
    <xf numFmtId="38" fontId="20" fillId="0" borderId="1" xfId="6" applyNumberFormat="1" applyFont="1" applyBorder="1" applyAlignment="1">
      <alignment horizontal="center" vertical="center"/>
    </xf>
    <xf numFmtId="0" fontId="18" fillId="0" borderId="1" xfId="5" applyFont="1" applyBorder="1" applyAlignment="1">
      <alignment horizontal="left" vertical="center" indent="2"/>
    </xf>
    <xf numFmtId="38" fontId="13" fillId="0" borderId="1" xfId="6" applyNumberFormat="1" applyFont="1" applyBorder="1" applyAlignment="1">
      <alignment horizontal="center" vertical="center"/>
    </xf>
    <xf numFmtId="38" fontId="19" fillId="0" borderId="1" xfId="6" applyNumberFormat="1" applyFont="1" applyBorder="1" applyAlignment="1">
      <alignment horizontal="center" vertical="center"/>
    </xf>
    <xf numFmtId="0" fontId="16" fillId="0" borderId="1" xfId="5" applyFont="1" applyBorder="1" applyAlignment="1">
      <alignment horizontal="left" vertical="center" indent="2"/>
    </xf>
    <xf numFmtId="166" fontId="19" fillId="0" borderId="1" xfId="6" applyNumberFormat="1" applyFont="1" applyBorder="1" applyAlignment="1">
      <alignment horizontal="center" vertical="center"/>
    </xf>
    <xf numFmtId="38" fontId="14" fillId="0" borderId="1" xfId="6" applyNumberFormat="1" applyFont="1" applyBorder="1" applyAlignment="1">
      <alignment horizontal="center" vertical="center"/>
    </xf>
    <xf numFmtId="38" fontId="17" fillId="3" borderId="1" xfId="6" applyNumberFormat="1" applyFont="1" applyFill="1" applyBorder="1" applyAlignment="1">
      <alignment horizontal="center" vertical="center"/>
    </xf>
    <xf numFmtId="38" fontId="15" fillId="0" borderId="1" xfId="6" applyNumberFormat="1" applyFont="1" applyBorder="1" applyAlignment="1">
      <alignment horizontal="center" vertical="center"/>
    </xf>
    <xf numFmtId="0" fontId="21" fillId="11" borderId="1" xfId="5" applyFont="1" applyFill="1" applyBorder="1" applyAlignment="1">
      <alignment horizontal="left" vertical="center"/>
    </xf>
    <xf numFmtId="38" fontId="22" fillId="12" borderId="1" xfId="6" applyNumberFormat="1" applyFont="1" applyFill="1" applyBorder="1" applyAlignment="1">
      <alignment horizontal="center" vertical="center"/>
    </xf>
    <xf numFmtId="38" fontId="22" fillId="0" borderId="1" xfId="6" applyNumberFormat="1" applyFont="1" applyBorder="1" applyAlignment="1">
      <alignment horizontal="center" vertical="center"/>
    </xf>
    <xf numFmtId="38" fontId="23" fillId="0" borderId="1" xfId="6" applyNumberFormat="1" applyFont="1" applyBorder="1" applyAlignment="1">
      <alignment horizontal="center" vertical="center"/>
    </xf>
    <xf numFmtId="0" fontId="20" fillId="8" borderId="1" xfId="0" applyFont="1" applyFill="1" applyBorder="1"/>
    <xf numFmtId="38" fontId="15" fillId="8" borderId="1" xfId="6" applyNumberFormat="1" applyFont="1" applyFill="1" applyBorder="1" applyAlignment="1">
      <alignment horizontal="center" vertical="center"/>
    </xf>
    <xf numFmtId="0" fontId="24" fillId="0" borderId="1" xfId="5" applyFont="1" applyBorder="1" applyAlignment="1">
      <alignment horizontal="left" vertical="center" indent="3"/>
    </xf>
    <xf numFmtId="38" fontId="17" fillId="8" borderId="1" xfId="6" applyNumberFormat="1" applyFont="1" applyFill="1" applyBorder="1" applyAlignment="1">
      <alignment horizontal="center" vertical="center"/>
    </xf>
    <xf numFmtId="38" fontId="15" fillId="3" borderId="1" xfId="6" applyNumberFormat="1" applyFont="1" applyFill="1" applyBorder="1" applyAlignment="1">
      <alignment horizontal="center" vertical="center"/>
    </xf>
    <xf numFmtId="38" fontId="14" fillId="8" borderId="1" xfId="6" applyNumberFormat="1" applyFont="1" applyFill="1" applyBorder="1" applyAlignment="1">
      <alignment horizontal="center" vertical="center"/>
    </xf>
    <xf numFmtId="0" fontId="22" fillId="0" borderId="1" xfId="5" applyFont="1" applyBorder="1" applyAlignment="1">
      <alignment horizontal="left" vertical="center" indent="2"/>
    </xf>
    <xf numFmtId="38" fontId="14" fillId="12" borderId="1" xfId="6" applyNumberFormat="1" applyFont="1" applyFill="1" applyBorder="1" applyAlignment="1">
      <alignment horizontal="center" vertical="center"/>
    </xf>
    <xf numFmtId="0" fontId="23" fillId="3" borderId="1" xfId="5" applyFont="1" applyFill="1" applyBorder="1" applyAlignment="1">
      <alignment horizontal="left" vertical="center" indent="3"/>
    </xf>
    <xf numFmtId="0" fontId="25" fillId="0" borderId="1" xfId="5" applyFont="1" applyBorder="1" applyAlignment="1">
      <alignment horizontal="left" vertical="center" indent="3"/>
    </xf>
    <xf numFmtId="0" fontId="22" fillId="12" borderId="1" xfId="5" applyFont="1" applyFill="1" applyBorder="1" applyAlignment="1">
      <alignment horizontal="left" vertical="center" indent="2"/>
    </xf>
    <xf numFmtId="38" fontId="19" fillId="8" borderId="1" xfId="6" applyNumberFormat="1" applyFont="1" applyFill="1" applyBorder="1" applyAlignment="1">
      <alignment horizontal="center" vertical="center"/>
    </xf>
    <xf numFmtId="0" fontId="23" fillId="0" borderId="1" xfId="5" applyFont="1" applyBorder="1" applyAlignment="1">
      <alignment horizontal="left" vertical="center" indent="3"/>
    </xf>
    <xf numFmtId="0" fontId="23" fillId="0" borderId="1" xfId="5" applyFont="1" applyBorder="1" applyAlignment="1">
      <alignment horizontal="left" vertical="center" indent="4"/>
    </xf>
    <xf numFmtId="0" fontId="22" fillId="0" borderId="1" xfId="5" applyFont="1" applyBorder="1" applyAlignment="1">
      <alignment horizontal="left" vertical="center" indent="4"/>
    </xf>
    <xf numFmtId="167" fontId="20" fillId="0" borderId="1" xfId="6" applyNumberFormat="1" applyFont="1" applyBorder="1" applyAlignment="1">
      <alignment horizontal="center"/>
    </xf>
    <xf numFmtId="38" fontId="26" fillId="8" borderId="1" xfId="6" applyNumberFormat="1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0" fontId="24" fillId="0" borderId="1" xfId="5" applyFont="1" applyBorder="1" applyAlignment="1">
      <alignment horizontal="left" vertical="center" indent="2"/>
    </xf>
    <xf numFmtId="38" fontId="17" fillId="12" borderId="1" xfId="6" applyNumberFormat="1" applyFont="1" applyFill="1" applyBorder="1" applyAlignment="1">
      <alignment horizontal="center" vertical="center"/>
    </xf>
    <xf numFmtId="0" fontId="16" fillId="0" borderId="1" xfId="5" applyFont="1" applyBorder="1" applyAlignment="1">
      <alignment horizontal="left" vertical="center" indent="4"/>
    </xf>
    <xf numFmtId="0" fontId="15" fillId="13" borderId="1" xfId="0" applyFont="1" applyFill="1" applyBorder="1"/>
    <xf numFmtId="40" fontId="15" fillId="13" borderId="1" xfId="0" applyNumberFormat="1" applyFont="1" applyFill="1" applyBorder="1"/>
    <xf numFmtId="40" fontId="15" fillId="8" borderId="1" xfId="0" applyNumberFormat="1" applyFont="1" applyFill="1" applyBorder="1"/>
    <xf numFmtId="0" fontId="14" fillId="11" borderId="1" xfId="0" applyFont="1" applyFill="1" applyBorder="1"/>
    <xf numFmtId="1" fontId="14" fillId="11" borderId="1" xfId="0" applyNumberFormat="1" applyFont="1" applyFill="1" applyBorder="1" applyAlignment="1">
      <alignment horizontal="center" vertical="center"/>
    </xf>
    <xf numFmtId="1" fontId="15" fillId="8" borderId="1" xfId="0" applyNumberFormat="1" applyFont="1" applyFill="1" applyBorder="1" applyAlignment="1">
      <alignment horizontal="center" vertical="center"/>
    </xf>
    <xf numFmtId="0" fontId="21" fillId="14" borderId="1" xfId="5" applyFont="1" applyFill="1" applyBorder="1" applyAlignment="1">
      <alignment horizontal="left" vertical="center" indent="2"/>
    </xf>
    <xf numFmtId="38" fontId="17" fillId="14" borderId="1" xfId="6" applyNumberFormat="1" applyFont="1" applyFill="1" applyBorder="1" applyAlignment="1" applyProtection="1">
      <alignment horizontal="center" vertical="center"/>
      <protection locked="0"/>
    </xf>
    <xf numFmtId="38" fontId="17" fillId="14" borderId="1" xfId="6" applyNumberFormat="1" applyFont="1" applyFill="1" applyBorder="1" applyAlignment="1">
      <alignment horizontal="center" vertical="center"/>
    </xf>
    <xf numFmtId="38" fontId="15" fillId="8" borderId="1" xfId="6" applyNumberFormat="1" applyFont="1" applyFill="1" applyBorder="1" applyAlignment="1">
      <alignment horizontal="left" vertical="center"/>
    </xf>
    <xf numFmtId="0" fontId="13" fillId="14" borderId="1" xfId="5" applyFont="1" applyFill="1" applyBorder="1" applyAlignment="1">
      <alignment horizontal="left" vertical="center" indent="2"/>
    </xf>
    <xf numFmtId="38" fontId="19" fillId="11" borderId="1" xfId="6" applyNumberFormat="1" applyFont="1" applyFill="1" applyBorder="1" applyAlignment="1">
      <alignment horizontal="center" vertical="center"/>
    </xf>
    <xf numFmtId="0" fontId="21" fillId="15" borderId="1" xfId="5" applyFont="1" applyFill="1" applyBorder="1" applyAlignment="1">
      <alignment horizontal="left" vertical="center" indent="2"/>
    </xf>
    <xf numFmtId="38" fontId="15" fillId="15" borderId="1" xfId="6" applyNumberFormat="1" applyFont="1" applyFill="1" applyBorder="1" applyAlignment="1">
      <alignment horizontal="center" vertical="center"/>
    </xf>
    <xf numFmtId="0" fontId="23" fillId="15" borderId="1" xfId="5" applyFont="1" applyFill="1" applyBorder="1" applyAlignment="1">
      <alignment horizontal="left" vertical="center" indent="3"/>
    </xf>
    <xf numFmtId="38" fontId="17" fillId="15" borderId="1" xfId="6" applyNumberFormat="1" applyFont="1" applyFill="1" applyBorder="1" applyAlignment="1">
      <alignment horizontal="center" vertical="center"/>
    </xf>
    <xf numFmtId="0" fontId="24" fillId="15" borderId="1" xfId="5" applyFont="1" applyFill="1" applyBorder="1" applyAlignment="1">
      <alignment horizontal="left" vertical="center" indent="3"/>
    </xf>
    <xf numFmtId="38" fontId="14" fillId="15" borderId="1" xfId="6" applyNumberFormat="1" applyFont="1" applyFill="1" applyBorder="1" applyAlignment="1">
      <alignment horizontal="center" vertical="center"/>
    </xf>
    <xf numFmtId="38" fontId="19" fillId="15" borderId="1" xfId="6" applyNumberFormat="1" applyFont="1" applyFill="1" applyBorder="1" applyAlignment="1">
      <alignment horizontal="center" vertical="center"/>
    </xf>
    <xf numFmtId="38" fontId="17" fillId="15" borderId="1" xfId="6" applyNumberFormat="1" applyFont="1" applyFill="1" applyBorder="1" applyAlignment="1" applyProtection="1">
      <alignment horizontal="center" vertical="center"/>
      <protection locked="0"/>
    </xf>
    <xf numFmtId="0" fontId="21" fillId="11" borderId="1" xfId="7" applyFont="1" applyFill="1" applyBorder="1" applyAlignment="1">
      <alignment horizontal="left" vertical="center"/>
    </xf>
    <xf numFmtId="38" fontId="14" fillId="11" borderId="1" xfId="6" applyNumberFormat="1" applyFont="1" applyFill="1" applyBorder="1" applyAlignment="1" applyProtection="1">
      <alignment horizontal="center" vertical="center"/>
      <protection locked="0"/>
    </xf>
    <xf numFmtId="38" fontId="14" fillId="11" borderId="1" xfId="8" applyNumberFormat="1" applyFont="1" applyFill="1" applyBorder="1" applyAlignment="1">
      <alignment horizontal="center" vertical="center"/>
    </xf>
    <xf numFmtId="38" fontId="27" fillId="8" borderId="1" xfId="8" applyNumberFormat="1" applyFont="1" applyFill="1" applyBorder="1" applyAlignment="1">
      <alignment horizontal="center" vertical="center"/>
    </xf>
    <xf numFmtId="0" fontId="24" fillId="16" borderId="1" xfId="7" applyFont="1" applyFill="1" applyBorder="1" applyAlignment="1">
      <alignment horizontal="left" vertical="center" indent="3"/>
    </xf>
    <xf numFmtId="38" fontId="15" fillId="16" borderId="1" xfId="8" applyNumberFormat="1" applyFont="1" applyFill="1" applyBorder="1" applyAlignment="1" applyProtection="1">
      <alignment horizontal="center" vertical="center"/>
    </xf>
    <xf numFmtId="38" fontId="15" fillId="16" borderId="1" xfId="8" applyNumberFormat="1" applyFont="1" applyFill="1" applyBorder="1" applyAlignment="1">
      <alignment horizontal="center" vertical="center"/>
    </xf>
    <xf numFmtId="38" fontId="28" fillId="8" borderId="1" xfId="8" applyNumberFormat="1" applyFont="1" applyFill="1" applyBorder="1" applyAlignment="1">
      <alignment horizontal="center" vertical="center"/>
    </xf>
    <xf numFmtId="38" fontId="14" fillId="11" borderId="1" xfId="8" applyNumberFormat="1" applyFont="1" applyFill="1" applyBorder="1" applyAlignment="1" applyProtection="1">
      <alignment horizontal="center" vertical="center"/>
    </xf>
    <xf numFmtId="0" fontId="21" fillId="17" borderId="1" xfId="7" applyFont="1" applyFill="1" applyBorder="1" applyAlignment="1">
      <alignment horizontal="left" vertical="center" indent="2"/>
    </xf>
    <xf numFmtId="38" fontId="14" fillId="17" borderId="1" xfId="8" applyNumberFormat="1" applyFont="1" applyFill="1" applyBorder="1" applyAlignment="1" applyProtection="1">
      <alignment horizontal="center" vertical="center"/>
    </xf>
    <xf numFmtId="38" fontId="14" fillId="17" borderId="1" xfId="8" applyNumberFormat="1" applyFont="1" applyFill="1" applyBorder="1" applyAlignment="1">
      <alignment horizontal="center" vertical="center"/>
    </xf>
    <xf numFmtId="38" fontId="14" fillId="8" borderId="1" xfId="8" applyNumberFormat="1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left" vertical="center" indent="2"/>
    </xf>
    <xf numFmtId="38" fontId="15" fillId="17" borderId="1" xfId="8" applyNumberFormat="1" applyFont="1" applyFill="1" applyBorder="1" applyAlignment="1" applyProtection="1">
      <alignment horizontal="center" vertical="center"/>
    </xf>
    <xf numFmtId="38" fontId="15" fillId="17" borderId="1" xfId="8" applyNumberFormat="1" applyFont="1" applyFill="1" applyBorder="1" applyAlignment="1">
      <alignment horizontal="center" vertical="center"/>
    </xf>
    <xf numFmtId="38" fontId="15" fillId="8" borderId="1" xfId="8" applyNumberFormat="1" applyFont="1" applyFill="1" applyBorder="1" applyAlignment="1">
      <alignment horizontal="center" vertical="center"/>
    </xf>
    <xf numFmtId="0" fontId="21" fillId="17" borderId="1" xfId="7" applyFont="1" applyFill="1" applyBorder="1" applyAlignment="1" applyProtection="1">
      <alignment horizontal="left" vertical="center" indent="2"/>
      <protection locked="0"/>
    </xf>
    <xf numFmtId="0" fontId="0" fillId="3" borderId="0" xfId="0" applyFill="1" applyAlignment="1">
      <alignment horizontal="right" vertical="center"/>
    </xf>
    <xf numFmtId="0" fontId="4" fillId="3" borderId="0" xfId="0" applyFont="1" applyFill="1" applyBorder="1"/>
    <xf numFmtId="14" fontId="0" fillId="3" borderId="0" xfId="0" applyNumberFormat="1" applyFill="1"/>
    <xf numFmtId="164" fontId="0" fillId="3" borderId="3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9" fontId="0" fillId="3" borderId="3" xfId="2" applyFon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center" vertical="center"/>
    </xf>
    <xf numFmtId="9" fontId="0" fillId="3" borderId="14" xfId="2" applyFont="1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center" vertical="center"/>
    </xf>
    <xf numFmtId="165" fontId="0" fillId="3" borderId="14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164" fontId="0" fillId="3" borderId="25" xfId="0" applyNumberFormat="1" applyFill="1" applyBorder="1" applyAlignment="1">
      <alignment horizontal="center" vertical="center"/>
    </xf>
    <xf numFmtId="14" fontId="0" fillId="3" borderId="25" xfId="0" applyNumberFormat="1" applyFill="1" applyBorder="1" applyAlignment="1">
      <alignment horizontal="center" vertical="center"/>
    </xf>
    <xf numFmtId="9" fontId="0" fillId="3" borderId="25" xfId="2" applyFont="1" applyFill="1" applyBorder="1" applyAlignment="1">
      <alignment horizontal="center" vertical="center"/>
    </xf>
    <xf numFmtId="1" fontId="0" fillId="3" borderId="25" xfId="0" applyNumberFormat="1" applyFill="1" applyBorder="1" applyAlignment="1">
      <alignment horizontal="center" vertical="center"/>
    </xf>
    <xf numFmtId="165" fontId="0" fillId="3" borderId="25" xfId="0" applyNumberForma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19" borderId="29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19" borderId="31" xfId="0" applyFont="1" applyFill="1" applyBorder="1" applyAlignment="1">
      <alignment horizontal="center" vertical="center"/>
    </xf>
    <xf numFmtId="1" fontId="0" fillId="3" borderId="26" xfId="0" applyNumberFormat="1" applyFill="1" applyBorder="1" applyAlignment="1">
      <alignment horizontal="center" vertical="center"/>
    </xf>
    <xf numFmtId="1" fontId="0" fillId="3" borderId="18" xfId="0" applyNumberFormat="1" applyFill="1" applyBorder="1" applyAlignment="1">
      <alignment horizontal="center" vertical="center"/>
    </xf>
    <xf numFmtId="1" fontId="0" fillId="3" borderId="19" xfId="0" applyNumberFormat="1" applyFill="1" applyBorder="1" applyAlignment="1">
      <alignment horizontal="center" vertical="center"/>
    </xf>
    <xf numFmtId="165" fontId="0" fillId="3" borderId="22" xfId="0" applyNumberFormat="1" applyFill="1" applyBorder="1" applyAlignment="1">
      <alignment horizontal="center" vertical="center"/>
    </xf>
    <xf numFmtId="165" fontId="0" fillId="3" borderId="23" xfId="0" applyNumberFormat="1" applyFill="1" applyBorder="1" applyAlignment="1">
      <alignment horizontal="center" vertical="center"/>
    </xf>
    <xf numFmtId="165" fontId="0" fillId="3" borderId="11" xfId="0" applyNumberFormat="1" applyFill="1" applyBorder="1" applyAlignment="1">
      <alignment horizontal="center" vertical="center"/>
    </xf>
    <xf numFmtId="165" fontId="0" fillId="3" borderId="12" xfId="0" applyNumberFormat="1" applyFill="1" applyBorder="1" applyAlignment="1">
      <alignment horizontal="center" vertical="center"/>
    </xf>
    <xf numFmtId="165" fontId="0" fillId="3" borderId="13" xfId="0" applyNumberFormat="1" applyFill="1" applyBorder="1" applyAlignment="1">
      <alignment horizontal="center" vertical="center"/>
    </xf>
    <xf numFmtId="165" fontId="0" fillId="3" borderId="15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23" xfId="0" applyNumberForma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3" borderId="0" xfId="0" applyFont="1" applyFill="1"/>
    <xf numFmtId="0" fontId="3" fillId="18" borderId="3" xfId="0" applyFont="1" applyFill="1" applyBorder="1" applyAlignment="1">
      <alignment horizontal="center" vertical="center"/>
    </xf>
    <xf numFmtId="0" fontId="2" fillId="0" borderId="0" xfId="0" applyFont="1"/>
    <xf numFmtId="169" fontId="0" fillId="0" borderId="0" xfId="0" applyNumberFormat="1"/>
    <xf numFmtId="0" fontId="0" fillId="0" borderId="0" xfId="0" applyAlignment="1">
      <alignment horizontal="center"/>
    </xf>
    <xf numFmtId="1" fontId="0" fillId="3" borderId="0" xfId="0" applyNumberFormat="1" applyFill="1" applyAlignment="1">
      <alignment horizontal="center" vertical="center"/>
    </xf>
    <xf numFmtId="0" fontId="0" fillId="3" borderId="3" xfId="0" applyFill="1" applyBorder="1"/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3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33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6" xfId="0" applyFill="1" applyBorder="1"/>
    <xf numFmtId="0" fontId="0" fillId="3" borderId="18" xfId="0" applyFill="1" applyBorder="1"/>
    <xf numFmtId="0" fontId="0" fillId="3" borderId="19" xfId="0" applyFill="1" applyBorder="1"/>
    <xf numFmtId="1" fontId="0" fillId="3" borderId="22" xfId="0" applyNumberFormat="1" applyFill="1" applyBorder="1"/>
    <xf numFmtId="1" fontId="0" fillId="3" borderId="25" xfId="0" applyNumberFormat="1" applyFill="1" applyBorder="1"/>
    <xf numFmtId="1" fontId="0" fillId="3" borderId="23" xfId="0" applyNumberFormat="1" applyFill="1" applyBorder="1"/>
    <xf numFmtId="1" fontId="0" fillId="3" borderId="11" xfId="0" applyNumberFormat="1" applyFill="1" applyBorder="1"/>
    <xf numFmtId="1" fontId="0" fillId="3" borderId="3" xfId="0" applyNumberFormat="1" applyFill="1" applyBorder="1"/>
    <xf numFmtId="1" fontId="0" fillId="3" borderId="12" xfId="0" applyNumberFormat="1" applyFill="1" applyBorder="1"/>
    <xf numFmtId="1" fontId="0" fillId="3" borderId="13" xfId="0" applyNumberFormat="1" applyFill="1" applyBorder="1"/>
    <xf numFmtId="1" fontId="0" fillId="3" borderId="14" xfId="0" applyNumberFormat="1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0" fontId="0" fillId="3" borderId="39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2" fontId="0" fillId="3" borderId="0" xfId="0" applyNumberFormat="1" applyFill="1"/>
    <xf numFmtId="1" fontId="0" fillId="4" borderId="3" xfId="0" applyNumberFormat="1" applyFill="1" applyBorder="1"/>
    <xf numFmtId="1" fontId="0" fillId="4" borderId="14" xfId="0" applyNumberFormat="1" applyFill="1" applyBorder="1"/>
    <xf numFmtId="1" fontId="0" fillId="4" borderId="25" xfId="0" applyNumberFormat="1" applyFill="1" applyBorder="1"/>
    <xf numFmtId="0" fontId="3" fillId="4" borderId="30" xfId="0" applyFont="1" applyFill="1" applyBorder="1" applyAlignment="1">
      <alignment horizontal="center" vertical="center"/>
    </xf>
    <xf numFmtId="14" fontId="0" fillId="3" borderId="39" xfId="0" applyNumberFormat="1" applyFill="1" applyBorder="1" applyAlignment="1">
      <alignment horizontal="center" vertical="center"/>
    </xf>
    <xf numFmtId="14" fontId="0" fillId="3" borderId="40" xfId="0" applyNumberFormat="1" applyFill="1" applyBorder="1" applyAlignment="1">
      <alignment horizontal="center" vertical="center"/>
    </xf>
    <xf numFmtId="14" fontId="0" fillId="3" borderId="41" xfId="0" applyNumberForma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2" fillId="23" borderId="32" xfId="0" applyFont="1" applyFill="1" applyBorder="1" applyAlignment="1">
      <alignment horizontal="center" vertical="center" wrapText="1"/>
    </xf>
    <xf numFmtId="0" fontId="32" fillId="23" borderId="6" xfId="0" applyFont="1" applyFill="1" applyBorder="1" applyAlignment="1">
      <alignment horizontal="center" vertical="center" wrapText="1"/>
    </xf>
    <xf numFmtId="0" fontId="32" fillId="23" borderId="6" xfId="0" applyFont="1" applyFill="1" applyBorder="1" applyAlignment="1">
      <alignment horizontal="center" vertical="center"/>
    </xf>
    <xf numFmtId="0" fontId="32" fillId="24" borderId="6" xfId="0" applyFont="1" applyFill="1" applyBorder="1" applyAlignment="1">
      <alignment horizontal="center" vertical="center" wrapText="1"/>
    </xf>
    <xf numFmtId="0" fontId="32" fillId="25" borderId="6" xfId="0" applyFont="1" applyFill="1" applyBorder="1" applyAlignment="1">
      <alignment horizontal="center" vertical="center" wrapText="1"/>
    </xf>
    <xf numFmtId="0" fontId="32" fillId="26" borderId="45" xfId="0" applyFont="1" applyFill="1" applyBorder="1" applyAlignment="1">
      <alignment horizontal="center" vertical="center"/>
    </xf>
    <xf numFmtId="0" fontId="32" fillId="26" borderId="46" xfId="0" applyFont="1" applyFill="1" applyBorder="1" applyAlignment="1">
      <alignment horizontal="center" vertical="center"/>
    </xf>
    <xf numFmtId="14" fontId="32" fillId="26" borderId="46" xfId="0" applyNumberFormat="1" applyFont="1" applyFill="1" applyBorder="1" applyAlignment="1">
      <alignment horizontal="center" vertical="center"/>
    </xf>
    <xf numFmtId="14" fontId="32" fillId="27" borderId="46" xfId="0" applyNumberFormat="1" applyFont="1" applyFill="1" applyBorder="1" applyAlignment="1">
      <alignment horizontal="center" vertical="center"/>
    </xf>
    <xf numFmtId="9" fontId="32" fillId="28" borderId="46" xfId="0" applyNumberFormat="1" applyFont="1" applyFill="1" applyBorder="1" applyAlignment="1">
      <alignment horizontal="center" vertical="center"/>
    </xf>
    <xf numFmtId="9" fontId="32" fillId="29" borderId="46" xfId="0" applyNumberFormat="1" applyFont="1" applyFill="1" applyBorder="1" applyAlignment="1">
      <alignment horizontal="center" vertical="center"/>
    </xf>
    <xf numFmtId="1" fontId="0" fillId="3" borderId="26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9" fontId="0" fillId="3" borderId="11" xfId="2" applyFont="1" applyFill="1" applyBorder="1" applyAlignment="1">
      <alignment horizontal="center" vertical="center"/>
    </xf>
    <xf numFmtId="9" fontId="0" fillId="3" borderId="13" xfId="2" applyFont="1" applyFill="1" applyBorder="1" applyAlignment="1">
      <alignment horizontal="center" vertical="center"/>
    </xf>
    <xf numFmtId="1" fontId="0" fillId="3" borderId="11" xfId="0" applyNumberFormat="1" applyFill="1" applyBorder="1" applyAlignment="1">
      <alignment horizontal="center" vertical="center"/>
    </xf>
    <xf numFmtId="1" fontId="0" fillId="3" borderId="12" xfId="0" applyNumberFormat="1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1" fontId="0" fillId="3" borderId="15" xfId="0" applyNumberFormat="1" applyFill="1" applyBorder="1" applyAlignment="1">
      <alignment horizontal="center" vertical="center"/>
    </xf>
    <xf numFmtId="9" fontId="0" fillId="3" borderId="22" xfId="2" applyFont="1" applyFill="1" applyBorder="1" applyAlignment="1">
      <alignment horizontal="center" vertical="center"/>
    </xf>
    <xf numFmtId="1" fontId="0" fillId="3" borderId="22" xfId="0" applyNumberFormat="1" applyFill="1" applyBorder="1" applyAlignment="1">
      <alignment horizontal="center" vertical="center"/>
    </xf>
    <xf numFmtId="1" fontId="0" fillId="3" borderId="23" xfId="0" applyNumberForma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35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14" borderId="0" xfId="0" applyFill="1"/>
    <xf numFmtId="2" fontId="0" fillId="14" borderId="0" xfId="0" applyNumberFormat="1" applyFill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14" borderId="0" xfId="0" applyFill="1" applyAlignment="1">
      <alignment horizontal="left" vertical="top"/>
    </xf>
    <xf numFmtId="164" fontId="0" fillId="14" borderId="0" xfId="0" applyNumberFormat="1" applyFill="1" applyAlignment="1">
      <alignment horizontal="left" vertical="top"/>
    </xf>
    <xf numFmtId="0" fontId="0" fillId="0" borderId="0" xfId="0" applyAlignment="1">
      <alignment horizontal="center" vertical="top"/>
    </xf>
    <xf numFmtId="0" fontId="0" fillId="14" borderId="0" xfId="0" applyFill="1" applyAlignment="1">
      <alignment horizontal="center" vertical="top"/>
    </xf>
    <xf numFmtId="164" fontId="0" fillId="14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35" fillId="3" borderId="0" xfId="0" applyFont="1" applyFill="1" applyAlignment="1">
      <alignment horizontal="left"/>
    </xf>
    <xf numFmtId="170" fontId="35" fillId="3" borderId="0" xfId="0" applyNumberFormat="1" applyFont="1" applyFill="1" applyAlignment="1">
      <alignment horizontal="center" vertical="center"/>
    </xf>
    <xf numFmtId="0" fontId="38" fillId="3" borderId="0" xfId="0" applyFont="1" applyFill="1" applyAlignment="1">
      <alignment horizontal="left"/>
    </xf>
    <xf numFmtId="0" fontId="35" fillId="3" borderId="0" xfId="0" applyFont="1" applyFill="1" applyAlignment="1">
      <alignment horizontal="center"/>
    </xf>
    <xf numFmtId="0" fontId="35" fillId="3" borderId="0" xfId="0" applyFont="1" applyFill="1" applyAlignment="1">
      <alignment horizontal="left" vertical="top" wrapText="1"/>
    </xf>
    <xf numFmtId="0" fontId="34" fillId="3" borderId="0" xfId="10" applyFill="1" applyAlignment="1">
      <alignment horizontal="left"/>
    </xf>
    <xf numFmtId="0" fontId="37" fillId="3" borderId="0" xfId="0" applyFont="1" applyFill="1" applyAlignment="1">
      <alignment horizontal="left"/>
    </xf>
    <xf numFmtId="0" fontId="36" fillId="3" borderId="0" xfId="0" applyFont="1" applyFill="1" applyAlignment="1">
      <alignment horizontal="left"/>
    </xf>
    <xf numFmtId="0" fontId="37" fillId="3" borderId="0" xfId="0" applyFont="1" applyFill="1" applyAlignment="1">
      <alignment horizontal="center" wrapText="1"/>
    </xf>
    <xf numFmtId="0" fontId="35" fillId="3" borderId="3" xfId="0" applyFont="1" applyFill="1" applyBorder="1" applyAlignment="1">
      <alignment horizontal="center" vertical="center"/>
    </xf>
    <xf numFmtId="170" fontId="35" fillId="3" borderId="3" xfId="0" applyNumberFormat="1" applyFont="1" applyFill="1" applyBorder="1" applyAlignment="1">
      <alignment horizontal="center" vertical="center"/>
    </xf>
    <xf numFmtId="2" fontId="35" fillId="3" borderId="3" xfId="0" applyNumberFormat="1" applyFont="1" applyFill="1" applyBorder="1" applyAlignment="1">
      <alignment horizontal="center" vertical="center"/>
    </xf>
    <xf numFmtId="2" fontId="35" fillId="3" borderId="3" xfId="9" applyNumberFormat="1" applyFont="1" applyFill="1" applyBorder="1" applyAlignment="1">
      <alignment horizontal="center" vertical="center"/>
    </xf>
    <xf numFmtId="164" fontId="35" fillId="3" borderId="3" xfId="0" applyNumberFormat="1" applyFont="1" applyFill="1" applyBorder="1" applyAlignment="1">
      <alignment horizontal="center" vertical="center"/>
    </xf>
    <xf numFmtId="0" fontId="35" fillId="0" borderId="0" xfId="0" applyFont="1"/>
    <xf numFmtId="0" fontId="30" fillId="0" borderId="0" xfId="0" applyFont="1"/>
    <xf numFmtId="0" fontId="0" fillId="30" borderId="11" xfId="0" applyFill="1" applyBorder="1"/>
    <xf numFmtId="0" fontId="0" fillId="30" borderId="3" xfId="0" applyFill="1" applyBorder="1"/>
    <xf numFmtId="0" fontId="0" fillId="30" borderId="3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0" fillId="3" borderId="0" xfId="0" applyFont="1" applyFill="1"/>
    <xf numFmtId="0" fontId="45" fillId="3" borderId="0" xfId="0" applyFont="1" applyFill="1"/>
    <xf numFmtId="0" fontId="0" fillId="0" borderId="0" xfId="0" applyAlignment="1">
      <alignment wrapText="1"/>
    </xf>
    <xf numFmtId="0" fontId="46" fillId="31" borderId="32" xfId="0" applyFont="1" applyFill="1" applyBorder="1" applyAlignment="1">
      <alignment horizontal="center" vertical="center" wrapText="1"/>
    </xf>
    <xf numFmtId="0" fontId="46" fillId="16" borderId="32" xfId="0" applyFont="1" applyFill="1" applyBorder="1" applyAlignment="1">
      <alignment horizontal="center" vertical="center" wrapText="1"/>
    </xf>
    <xf numFmtId="0" fontId="46" fillId="16" borderId="32" xfId="0" applyFont="1" applyFill="1" applyBorder="1" applyAlignment="1">
      <alignment horizontal="left" vertical="center" wrapText="1"/>
    </xf>
    <xf numFmtId="0" fontId="46" fillId="31" borderId="45" xfId="0" applyFont="1" applyFill="1" applyBorder="1" applyAlignment="1">
      <alignment horizontal="center" vertical="center" wrapText="1"/>
    </xf>
    <xf numFmtId="0" fontId="47" fillId="31" borderId="46" xfId="0" applyFont="1" applyFill="1" applyBorder="1" applyAlignment="1">
      <alignment horizontal="center" vertical="center" wrapText="1"/>
    </xf>
    <xf numFmtId="0" fontId="47" fillId="0" borderId="46" xfId="0" applyFont="1" applyBorder="1" applyAlignment="1">
      <alignment horizontal="center" vertical="center" wrapText="1"/>
    </xf>
    <xf numFmtId="0" fontId="48" fillId="31" borderId="46" xfId="0" applyFont="1" applyFill="1" applyBorder="1" applyAlignment="1">
      <alignment horizontal="center" vertical="center" wrapText="1"/>
    </xf>
    <xf numFmtId="0" fontId="49" fillId="31" borderId="46" xfId="0" applyFont="1" applyFill="1" applyBorder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51" fillId="0" borderId="0" xfId="0" applyFont="1"/>
    <xf numFmtId="0" fontId="52" fillId="0" borderId="0" xfId="0" applyFont="1"/>
    <xf numFmtId="0" fontId="52" fillId="0" borderId="0" xfId="0" applyFont="1" applyAlignment="1">
      <alignment horizontal="center"/>
    </xf>
    <xf numFmtId="0" fontId="51" fillId="0" borderId="1" xfId="0" applyFont="1" applyBorder="1"/>
    <xf numFmtId="0" fontId="51" fillId="0" borderId="67" xfId="0" applyFont="1" applyBorder="1"/>
    <xf numFmtId="0" fontId="51" fillId="0" borderId="0" xfId="0" applyFont="1" applyAlignment="1">
      <alignment horizontal="center"/>
    </xf>
    <xf numFmtId="0" fontId="52" fillId="32" borderId="1" xfId="0" applyFont="1" applyFill="1" applyBorder="1"/>
    <xf numFmtId="0" fontId="52" fillId="32" borderId="67" xfId="0" applyFont="1" applyFill="1" applyBorder="1"/>
    <xf numFmtId="0" fontId="52" fillId="33" borderId="1" xfId="0" applyFont="1" applyFill="1" applyBorder="1"/>
    <xf numFmtId="0" fontId="52" fillId="34" borderId="1" xfId="0" applyFont="1" applyFill="1" applyBorder="1"/>
    <xf numFmtId="0" fontId="53" fillId="34" borderId="1" xfId="0" applyFont="1" applyFill="1" applyBorder="1"/>
    <xf numFmtId="0" fontId="52" fillId="14" borderId="1" xfId="0" applyFont="1" applyFill="1" applyBorder="1"/>
    <xf numFmtId="0" fontId="53" fillId="14" borderId="1" xfId="0" applyFont="1" applyFill="1" applyBorder="1"/>
    <xf numFmtId="0" fontId="0" fillId="30" borderId="22" xfId="0" applyFill="1" applyBorder="1"/>
    <xf numFmtId="0" fontId="0" fillId="30" borderId="25" xfId="0" applyFill="1" applyBorder="1"/>
    <xf numFmtId="0" fontId="0" fillId="30" borderId="25" xfId="0" applyFill="1" applyBorder="1" applyAlignment="1">
      <alignment horizontal="center" vertical="center"/>
    </xf>
    <xf numFmtId="0" fontId="0" fillId="30" borderId="23" xfId="0" applyFill="1" applyBorder="1" applyAlignment="1">
      <alignment horizontal="center" vertical="center"/>
    </xf>
    <xf numFmtId="0" fontId="41" fillId="30" borderId="11" xfId="0" applyFont="1" applyFill="1" applyBorder="1"/>
    <xf numFmtId="0" fontId="41" fillId="30" borderId="3" xfId="0" applyFont="1" applyFill="1" applyBorder="1"/>
    <xf numFmtId="0" fontId="41" fillId="30" borderId="3" xfId="0" applyFont="1" applyFill="1" applyBorder="1" applyAlignment="1">
      <alignment horizontal="center" vertical="center"/>
    </xf>
    <xf numFmtId="0" fontId="41" fillId="30" borderId="12" xfId="0" applyFont="1" applyFill="1" applyBorder="1" applyAlignment="1">
      <alignment horizontal="center" vertical="center"/>
    </xf>
    <xf numFmtId="9" fontId="0" fillId="0" borderId="0" xfId="2" applyFont="1"/>
    <xf numFmtId="0" fontId="0" fillId="0" borderId="0" xfId="0" applyAlignment="1">
      <alignment vertical="center"/>
    </xf>
    <xf numFmtId="0" fontId="2" fillId="11" borderId="71" xfId="0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2" fillId="16" borderId="72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0" fontId="2" fillId="16" borderId="74" xfId="0" applyFont="1" applyFill="1" applyBorder="1" applyAlignment="1">
      <alignment horizontal="center" vertical="center"/>
    </xf>
    <xf numFmtId="0" fontId="37" fillId="35" borderId="75" xfId="0" applyFont="1" applyFill="1" applyBorder="1" applyAlignment="1">
      <alignment horizontal="left" vertical="center" wrapText="1"/>
    </xf>
    <xf numFmtId="0" fontId="4" fillId="36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37" borderId="60" xfId="0" applyFont="1" applyFill="1" applyBorder="1" applyAlignment="1">
      <alignment horizontal="center" vertical="center"/>
    </xf>
    <xf numFmtId="0" fontId="32" fillId="0" borderId="76" xfId="0" applyFont="1" applyBorder="1" applyAlignment="1">
      <alignment wrapText="1"/>
    </xf>
    <xf numFmtId="0" fontId="0" fillId="38" borderId="0" xfId="0" applyFill="1" applyAlignment="1">
      <alignment vertical="center" wrapText="1"/>
    </xf>
    <xf numFmtId="0" fontId="37" fillId="35" borderId="77" xfId="0" applyFont="1" applyFill="1" applyBorder="1" applyAlignment="1">
      <alignment horizontal="left" vertical="center" wrapText="1"/>
    </xf>
    <xf numFmtId="0" fontId="4" fillId="36" borderId="78" xfId="0" applyFont="1" applyFill="1" applyBorder="1" applyAlignment="1">
      <alignment horizontal="center" vertical="center" wrapText="1"/>
    </xf>
    <xf numFmtId="0" fontId="32" fillId="39" borderId="78" xfId="0" applyFont="1" applyFill="1" applyBorder="1" applyAlignment="1">
      <alignment horizontal="center" vertical="center" wrapText="1"/>
    </xf>
    <xf numFmtId="0" fontId="32" fillId="37" borderId="79" xfId="0" applyFont="1" applyFill="1" applyBorder="1" applyAlignment="1">
      <alignment horizontal="center" vertical="center" wrapText="1"/>
    </xf>
    <xf numFmtId="0" fontId="32" fillId="0" borderId="80" xfId="0" applyFont="1" applyBorder="1" applyAlignment="1">
      <alignment wrapText="1"/>
    </xf>
    <xf numFmtId="0" fontId="0" fillId="29" borderId="0" xfId="0" applyFill="1" applyAlignment="1">
      <alignment vertical="center" wrapText="1"/>
    </xf>
    <xf numFmtId="0" fontId="32" fillId="38" borderId="81" xfId="0" applyFont="1" applyFill="1" applyBorder="1" applyAlignment="1">
      <alignment horizontal="center" vertical="center"/>
    </xf>
    <xf numFmtId="0" fontId="32" fillId="2" borderId="82" xfId="0" applyFont="1" applyFill="1" applyBorder="1" applyAlignment="1">
      <alignment horizontal="center" vertical="center"/>
    </xf>
    <xf numFmtId="0" fontId="32" fillId="0" borderId="83" xfId="0" applyFont="1" applyBorder="1" applyAlignment="1">
      <alignment wrapText="1"/>
    </xf>
    <xf numFmtId="0" fontId="0" fillId="39" borderId="0" xfId="0" applyFill="1" applyAlignment="1">
      <alignment vertical="center" wrapText="1"/>
    </xf>
    <xf numFmtId="0" fontId="32" fillId="39" borderId="81" xfId="0" applyFont="1" applyFill="1" applyBorder="1" applyAlignment="1">
      <alignment horizontal="center" vertical="center"/>
    </xf>
    <xf numFmtId="0" fontId="32" fillId="37" borderId="0" xfId="0" applyFont="1" applyFill="1" applyAlignment="1">
      <alignment horizontal="center" vertical="center"/>
    </xf>
    <xf numFmtId="0" fontId="32" fillId="0" borderId="84" xfId="0" applyFont="1" applyBorder="1" applyAlignment="1">
      <alignment wrapText="1"/>
    </xf>
    <xf numFmtId="0" fontId="32" fillId="0" borderId="85" xfId="0" applyFont="1" applyBorder="1" applyAlignment="1">
      <alignment horizontal="center" vertical="center"/>
    </xf>
    <xf numFmtId="0" fontId="32" fillId="37" borderId="1" xfId="0" applyFont="1" applyFill="1" applyBorder="1" applyAlignment="1">
      <alignment horizontal="center" vertical="center"/>
    </xf>
    <xf numFmtId="0" fontId="32" fillId="0" borderId="80" xfId="0" applyFont="1" applyBorder="1"/>
    <xf numFmtId="0" fontId="32" fillId="37" borderId="82" xfId="0" applyFont="1" applyFill="1" applyBorder="1" applyAlignment="1">
      <alignment horizontal="center" vertical="center"/>
    </xf>
    <xf numFmtId="0" fontId="32" fillId="0" borderId="83" xfId="0" applyFont="1" applyBorder="1"/>
    <xf numFmtId="0" fontId="37" fillId="35" borderId="86" xfId="0" applyFont="1" applyFill="1" applyBorder="1" applyAlignment="1">
      <alignment horizontal="left" vertical="center" wrapText="1"/>
    </xf>
    <xf numFmtId="0" fontId="4" fillId="36" borderId="87" xfId="0" applyFont="1" applyFill="1" applyBorder="1" applyAlignment="1">
      <alignment horizontal="center" vertical="center" wrapText="1"/>
    </xf>
    <xf numFmtId="0" fontId="32" fillId="39" borderId="88" xfId="0" applyFont="1" applyFill="1" applyBorder="1" applyAlignment="1">
      <alignment horizontal="center" vertical="center"/>
    </xf>
    <xf numFmtId="0" fontId="32" fillId="20" borderId="89" xfId="0" applyFont="1" applyFill="1" applyBorder="1" applyAlignment="1">
      <alignment horizontal="center" vertical="center"/>
    </xf>
    <xf numFmtId="0" fontId="32" fillId="0" borderId="90" xfId="0" applyFont="1" applyBorder="1"/>
    <xf numFmtId="0" fontId="2" fillId="11" borderId="91" xfId="0" applyFont="1" applyFill="1" applyBorder="1" applyAlignment="1">
      <alignment horizontal="center" vertical="center"/>
    </xf>
    <xf numFmtId="0" fontId="2" fillId="16" borderId="73" xfId="0" applyFont="1" applyFill="1" applyBorder="1" applyAlignment="1">
      <alignment horizontal="center" vertical="center"/>
    </xf>
    <xf numFmtId="0" fontId="2" fillId="16" borderId="92" xfId="0" applyFont="1" applyFill="1" applyBorder="1" applyAlignment="1">
      <alignment horizontal="center" vertical="center"/>
    </xf>
    <xf numFmtId="0" fontId="37" fillId="35" borderId="54" xfId="0" applyFont="1" applyFill="1" applyBorder="1" applyAlignment="1">
      <alignment horizontal="left" vertical="center" wrapText="1"/>
    </xf>
    <xf numFmtId="0" fontId="4" fillId="36" borderId="1" xfId="0" applyFont="1" applyFill="1" applyBorder="1" applyAlignment="1">
      <alignment horizontal="center" vertical="center"/>
    </xf>
    <xf numFmtId="0" fontId="32" fillId="38" borderId="1" xfId="0" applyFont="1" applyFill="1" applyBorder="1" applyAlignment="1">
      <alignment horizontal="center" vertical="center"/>
    </xf>
    <xf numFmtId="0" fontId="32" fillId="37" borderId="57" xfId="0" applyFont="1" applyFill="1" applyBorder="1" applyAlignment="1">
      <alignment horizontal="center" vertical="center"/>
    </xf>
    <xf numFmtId="0" fontId="32" fillId="0" borderId="58" xfId="0" applyFont="1" applyBorder="1" applyAlignment="1">
      <alignment wrapText="1"/>
    </xf>
    <xf numFmtId="0" fontId="32" fillId="0" borderId="72" xfId="0" applyFont="1" applyBorder="1" applyAlignment="1">
      <alignment horizontal="center" vertical="center"/>
    </xf>
    <xf numFmtId="0" fontId="32" fillId="37" borderId="93" xfId="0" applyFont="1" applyFill="1" applyBorder="1" applyAlignment="1">
      <alignment horizontal="center" vertical="center"/>
    </xf>
    <xf numFmtId="0" fontId="32" fillId="0" borderId="53" xfId="0" applyFont="1" applyBorder="1" applyAlignment="1">
      <alignment wrapText="1"/>
    </xf>
    <xf numFmtId="0" fontId="32" fillId="29" borderId="72" xfId="0" applyFont="1" applyFill="1" applyBorder="1" applyAlignment="1">
      <alignment horizontal="center" vertical="center"/>
    </xf>
    <xf numFmtId="0" fontId="32" fillId="2" borderId="93" xfId="0" applyFont="1" applyFill="1" applyBorder="1" applyAlignment="1">
      <alignment horizontal="center" vertical="center"/>
    </xf>
    <xf numFmtId="0" fontId="32" fillId="39" borderId="72" xfId="0" applyFont="1" applyFill="1" applyBorder="1" applyAlignment="1">
      <alignment horizontal="center" vertical="center"/>
    </xf>
    <xf numFmtId="0" fontId="32" fillId="29" borderId="10" xfId="0" applyFont="1" applyFill="1" applyBorder="1" applyAlignment="1">
      <alignment horizontal="center" vertical="center"/>
    </xf>
    <xf numFmtId="0" fontId="32" fillId="20" borderId="0" xfId="0" applyFont="1" applyFill="1" applyAlignment="1">
      <alignment horizontal="center" vertical="center"/>
    </xf>
    <xf numFmtId="0" fontId="32" fillId="0" borderId="64" xfId="0" applyFont="1" applyBorder="1" applyAlignment="1">
      <alignment wrapText="1"/>
    </xf>
    <xf numFmtId="0" fontId="32" fillId="39" borderId="2" xfId="0" applyFont="1" applyFill="1" applyBorder="1" applyAlignment="1">
      <alignment horizontal="center" vertical="center"/>
    </xf>
    <xf numFmtId="0" fontId="32" fillId="0" borderId="62" xfId="0" applyFont="1" applyBorder="1" applyAlignment="1">
      <alignment wrapText="1"/>
    </xf>
    <xf numFmtId="0" fontId="37" fillId="35" borderId="94" xfId="0" applyFont="1" applyFill="1" applyBorder="1" applyAlignment="1">
      <alignment horizontal="left" vertical="center" wrapText="1"/>
    </xf>
    <xf numFmtId="0" fontId="4" fillId="36" borderId="95" xfId="0" applyFont="1" applyFill="1" applyBorder="1" applyAlignment="1">
      <alignment horizontal="center" vertical="center"/>
    </xf>
    <xf numFmtId="0" fontId="32" fillId="39" borderId="96" xfId="0" applyFont="1" applyFill="1" applyBorder="1" applyAlignment="1">
      <alignment horizontal="center" vertical="center"/>
    </xf>
    <xf numFmtId="0" fontId="32" fillId="37" borderId="59" xfId="0" applyFont="1" applyFill="1" applyBorder="1" applyAlignment="1">
      <alignment horizontal="center" vertical="center"/>
    </xf>
    <xf numFmtId="0" fontId="32" fillId="0" borderId="97" xfId="0" applyFont="1" applyBorder="1" applyAlignment="1">
      <alignment wrapText="1"/>
    </xf>
    <xf numFmtId="0" fontId="37" fillId="35" borderId="98" xfId="0" applyFont="1" applyFill="1" applyBorder="1" applyAlignment="1">
      <alignment horizontal="left" vertical="center" wrapText="1"/>
    </xf>
    <xf numFmtId="0" fontId="55" fillId="0" borderId="46" xfId="0" applyFont="1" applyBorder="1" applyAlignment="1">
      <alignment horizontal="center" vertical="center" wrapText="1"/>
    </xf>
    <xf numFmtId="0" fontId="55" fillId="2" borderId="49" xfId="0" applyFont="1" applyFill="1" applyBorder="1" applyAlignment="1">
      <alignment horizontal="center" vertical="center" wrapText="1"/>
    </xf>
    <xf numFmtId="0" fontId="55" fillId="0" borderId="99" xfId="0" applyFont="1" applyBorder="1" applyAlignment="1">
      <alignment wrapText="1"/>
    </xf>
    <xf numFmtId="0" fontId="56" fillId="35" borderId="98" xfId="0" applyFont="1" applyFill="1" applyBorder="1" applyAlignment="1">
      <alignment horizontal="left" vertical="center" wrapText="1"/>
    </xf>
    <xf numFmtId="0" fontId="57" fillId="29" borderId="46" xfId="0" applyFont="1" applyFill="1" applyBorder="1" applyAlignment="1">
      <alignment horizontal="center" vertical="center"/>
    </xf>
    <xf numFmtId="0" fontId="57" fillId="2" borderId="49" xfId="0" applyFont="1" applyFill="1" applyBorder="1" applyAlignment="1">
      <alignment horizontal="center" vertical="center"/>
    </xf>
    <xf numFmtId="0" fontId="57" fillId="0" borderId="99" xfId="0" applyFont="1" applyBorder="1" applyAlignment="1">
      <alignment wrapText="1"/>
    </xf>
    <xf numFmtId="0" fontId="55" fillId="0" borderId="99" xfId="0" applyFont="1" applyBorder="1"/>
    <xf numFmtId="0" fontId="57" fillId="0" borderId="46" xfId="0" applyFont="1" applyBorder="1" applyAlignment="1">
      <alignment horizontal="center" vertical="center"/>
    </xf>
    <xf numFmtId="0" fontId="57" fillId="20" borderId="49" xfId="0" applyFont="1" applyFill="1" applyBorder="1" applyAlignment="1">
      <alignment horizontal="center" vertical="center"/>
    </xf>
    <xf numFmtId="0" fontId="57" fillId="0" borderId="99" xfId="0" applyFont="1" applyBorder="1"/>
    <xf numFmtId="0" fontId="0" fillId="29" borderId="1" xfId="0" applyFill="1" applyBorder="1" applyAlignment="1">
      <alignment horizontal="center" vertical="center"/>
    </xf>
    <xf numFmtId="0" fontId="0" fillId="20" borderId="67" xfId="0" applyFill="1" applyBorder="1" applyAlignment="1">
      <alignment horizontal="center" vertical="center"/>
    </xf>
    <xf numFmtId="0" fontId="0" fillId="0" borderId="100" xfId="0" applyBorder="1" applyAlignment="1">
      <alignment vertical="center" wrapText="1"/>
    </xf>
    <xf numFmtId="0" fontId="0" fillId="2" borderId="67" xfId="0" applyFill="1" applyBorder="1" applyAlignment="1">
      <alignment horizontal="center" vertical="center"/>
    </xf>
    <xf numFmtId="0" fontId="37" fillId="35" borderId="101" xfId="0" applyFont="1" applyFill="1" applyBorder="1" applyAlignment="1">
      <alignment horizontal="left" vertical="center" wrapText="1"/>
    </xf>
    <xf numFmtId="0" fontId="4" fillId="36" borderId="102" xfId="0" applyFont="1" applyFill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2" borderId="103" xfId="0" applyFill="1" applyBorder="1" applyAlignment="1">
      <alignment horizontal="center" vertical="center"/>
    </xf>
    <xf numFmtId="0" fontId="0" fillId="0" borderId="104" xfId="0" applyBorder="1" applyAlignment="1">
      <alignment vertical="center"/>
    </xf>
    <xf numFmtId="0" fontId="2" fillId="11" borderId="92" xfId="0" applyFont="1" applyFill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7" borderId="67" xfId="0" applyFill="1" applyBorder="1" applyAlignment="1">
      <alignment horizontal="center" vertical="center"/>
    </xf>
    <xf numFmtId="0" fontId="0" fillId="0" borderId="55" xfId="0" applyBorder="1" applyAlignment="1">
      <alignment vertical="center"/>
    </xf>
    <xf numFmtId="0" fontId="0" fillId="39" borderId="1" xfId="0" applyFill="1" applyBorder="1" applyAlignment="1">
      <alignment horizontal="center" vertical="center"/>
    </xf>
    <xf numFmtId="0" fontId="0" fillId="0" borderId="55" xfId="0" applyBorder="1" applyAlignment="1">
      <alignment vertical="center" wrapText="1"/>
    </xf>
    <xf numFmtId="0" fontId="37" fillId="35" borderId="10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37" borderId="61" xfId="0" applyFill="1" applyBorder="1" applyAlignment="1">
      <alignment horizontal="center" vertical="center"/>
    </xf>
    <xf numFmtId="0" fontId="0" fillId="0" borderId="106" xfId="0" applyBorder="1" applyAlignment="1">
      <alignment vertical="center" wrapText="1"/>
    </xf>
    <xf numFmtId="0" fontId="37" fillId="35" borderId="107" xfId="0" applyFont="1" applyFill="1" applyBorder="1" applyAlignment="1">
      <alignment horizontal="left" vertical="center" wrapText="1"/>
    </xf>
    <xf numFmtId="0" fontId="4" fillId="36" borderId="96" xfId="0" applyFont="1" applyFill="1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37" borderId="108" xfId="0" applyFill="1" applyBorder="1" applyAlignment="1">
      <alignment horizontal="center" vertical="center" wrapText="1"/>
    </xf>
    <xf numFmtId="0" fontId="0" fillId="0" borderId="109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0" xfId="0" applyFill="1" applyAlignment="1">
      <alignment vertical="top"/>
    </xf>
    <xf numFmtId="0" fontId="35" fillId="3" borderId="0" xfId="0" applyFont="1" applyFill="1"/>
    <xf numFmtId="0" fontId="41" fillId="3" borderId="0" xfId="0" applyFont="1" applyFill="1"/>
    <xf numFmtId="0" fontId="0" fillId="3" borderId="1" xfId="0" applyFill="1" applyBorder="1" applyAlignment="1">
      <alignment horizontal="center"/>
    </xf>
    <xf numFmtId="0" fontId="44" fillId="3" borderId="0" xfId="0" applyFont="1" applyFill="1"/>
    <xf numFmtId="0" fontId="0" fillId="3" borderId="0" xfId="0" quotePrefix="1" applyFill="1"/>
    <xf numFmtId="164" fontId="35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45" fillId="3" borderId="0" xfId="0" applyFont="1" applyFill="1" applyAlignment="1">
      <alignment horizontal="center" vertical="center" wrapText="1"/>
    </xf>
    <xf numFmtId="0" fontId="45" fillId="3" borderId="0" xfId="0" applyFont="1" applyFill="1" applyAlignment="1">
      <alignment horizontal="center" vertical="center"/>
    </xf>
    <xf numFmtId="0" fontId="45" fillId="3" borderId="0" xfId="0" applyFont="1" applyFill="1" applyAlignment="1">
      <alignment vertical="center"/>
    </xf>
    <xf numFmtId="14" fontId="35" fillId="3" borderId="11" xfId="0" applyNumberFormat="1" applyFont="1" applyFill="1" applyBorder="1" applyAlignment="1">
      <alignment horizontal="center" vertical="center"/>
    </xf>
    <xf numFmtId="14" fontId="35" fillId="3" borderId="13" xfId="0" applyNumberFormat="1" applyFont="1" applyFill="1" applyBorder="1" applyAlignment="1">
      <alignment horizontal="center" vertical="center"/>
    </xf>
    <xf numFmtId="0" fontId="35" fillId="3" borderId="14" xfId="0" applyFont="1" applyFill="1" applyBorder="1" applyAlignment="1">
      <alignment horizontal="center" vertical="center"/>
    </xf>
    <xf numFmtId="2" fontId="35" fillId="3" borderId="14" xfId="0" applyNumberFormat="1" applyFont="1" applyFill="1" applyBorder="1" applyAlignment="1">
      <alignment horizontal="center" vertical="center"/>
    </xf>
    <xf numFmtId="2" fontId="35" fillId="3" borderId="14" xfId="9" applyNumberFormat="1" applyFont="1" applyFill="1" applyBorder="1" applyAlignment="1">
      <alignment horizontal="center" vertical="center"/>
    </xf>
    <xf numFmtId="170" fontId="35" fillId="3" borderId="14" xfId="0" applyNumberFormat="1" applyFont="1" applyFill="1" applyBorder="1" applyAlignment="1">
      <alignment horizontal="center" vertical="center"/>
    </xf>
    <xf numFmtId="164" fontId="35" fillId="3" borderId="14" xfId="0" applyNumberFormat="1" applyFont="1" applyFill="1" applyBorder="1" applyAlignment="1">
      <alignment horizontal="center" vertical="center"/>
    </xf>
    <xf numFmtId="0" fontId="37" fillId="42" borderId="115" xfId="0" applyFont="1" applyFill="1" applyBorder="1" applyAlignment="1">
      <alignment horizontal="center" vertical="center" wrapText="1"/>
    </xf>
    <xf numFmtId="0" fontId="29" fillId="40" borderId="43" xfId="0" applyFont="1" applyFill="1" applyBorder="1" applyAlignment="1">
      <alignment horizontal="center" vertical="center"/>
    </xf>
    <xf numFmtId="14" fontId="35" fillId="3" borderId="33" xfId="0" applyNumberFormat="1" applyFont="1" applyFill="1" applyBorder="1" applyAlignment="1">
      <alignment horizontal="center" vertical="center"/>
    </xf>
    <xf numFmtId="0" fontId="35" fillId="3" borderId="34" xfId="0" applyFont="1" applyFill="1" applyBorder="1" applyAlignment="1">
      <alignment horizontal="center" vertical="center"/>
    </xf>
    <xf numFmtId="2" fontId="35" fillId="3" borderId="34" xfId="0" applyNumberFormat="1" applyFont="1" applyFill="1" applyBorder="1" applyAlignment="1">
      <alignment horizontal="center" vertical="center"/>
    </xf>
    <xf numFmtId="2" fontId="35" fillId="3" borderId="34" xfId="9" applyNumberFormat="1" applyFont="1" applyFill="1" applyBorder="1" applyAlignment="1">
      <alignment horizontal="center" vertical="center"/>
    </xf>
    <xf numFmtId="170" fontId="35" fillId="3" borderId="34" xfId="0" applyNumberFormat="1" applyFont="1" applyFill="1" applyBorder="1" applyAlignment="1">
      <alignment horizontal="center" vertical="center"/>
    </xf>
    <xf numFmtId="164" fontId="35" fillId="3" borderId="34" xfId="0" applyNumberFormat="1" applyFont="1" applyFill="1" applyBorder="1" applyAlignment="1">
      <alignment horizontal="center" vertical="center"/>
    </xf>
    <xf numFmtId="0" fontId="59" fillId="0" borderId="0" xfId="0" applyFont="1" applyAlignment="1">
      <alignment horizontal="center"/>
    </xf>
    <xf numFmtId="0" fontId="0" fillId="0" borderId="0" xfId="0" applyAlignment="1">
      <alignment horizontal="left" indent="1"/>
    </xf>
    <xf numFmtId="0" fontId="59" fillId="0" borderId="0" xfId="0" applyFont="1"/>
    <xf numFmtId="0" fontId="60" fillId="41" borderId="0" xfId="0" applyFont="1" applyFill="1" applyAlignment="1">
      <alignment horizontal="center"/>
    </xf>
    <xf numFmtId="0" fontId="60" fillId="10" borderId="0" xfId="0" applyFont="1" applyFill="1"/>
    <xf numFmtId="170" fontId="60" fillId="43" borderId="1" xfId="0" applyNumberFormat="1" applyFont="1" applyFill="1" applyBorder="1" applyAlignment="1">
      <alignment horizontal="right" wrapText="1"/>
    </xf>
    <xf numFmtId="170" fontId="60" fillId="43" borderId="1" xfId="0" applyNumberFormat="1" applyFont="1" applyFill="1" applyBorder="1" applyAlignment="1">
      <alignment horizontal="right"/>
    </xf>
    <xf numFmtId="170" fontId="60" fillId="41" borderId="1" xfId="0" applyNumberFormat="1" applyFont="1" applyFill="1" applyBorder="1" applyAlignment="1">
      <alignment horizontal="right" wrapText="1"/>
    </xf>
    <xf numFmtId="0" fontId="61" fillId="0" borderId="1" xfId="0" applyFont="1" applyBorder="1"/>
    <xf numFmtId="164" fontId="59" fillId="0" borderId="1" xfId="0" applyNumberFormat="1" applyFont="1" applyBorder="1"/>
    <xf numFmtId="169" fontId="60" fillId="43" borderId="1" xfId="9" applyNumberFormat="1" applyFont="1" applyFill="1" applyBorder="1" applyAlignment="1"/>
    <xf numFmtId="169" fontId="62" fillId="0" borderId="1" xfId="0" applyNumberFormat="1" applyFont="1" applyBorder="1"/>
    <xf numFmtId="9" fontId="59" fillId="0" borderId="1" xfId="2" applyFont="1" applyBorder="1"/>
    <xf numFmtId="169" fontId="59" fillId="0" borderId="1" xfId="2" applyNumberFormat="1" applyFont="1" applyBorder="1"/>
    <xf numFmtId="169" fontId="59" fillId="0" borderId="1" xfId="0" applyNumberFormat="1" applyFont="1" applyBorder="1"/>
    <xf numFmtId="169" fontId="60" fillId="41" borderId="1" xfId="0" applyNumberFormat="1" applyFont="1" applyFill="1" applyBorder="1"/>
    <xf numFmtId="9" fontId="60" fillId="41" borderId="1" xfId="2" applyFont="1" applyFill="1" applyBorder="1"/>
    <xf numFmtId="169" fontId="60" fillId="41" borderId="1" xfId="2" applyNumberFormat="1" applyFont="1" applyFill="1" applyBorder="1"/>
    <xf numFmtId="169" fontId="59" fillId="0" borderId="0" xfId="0" applyNumberFormat="1" applyFont="1" applyAlignment="1">
      <alignment horizontal="center"/>
    </xf>
    <xf numFmtId="9" fontId="0" fillId="0" borderId="0" xfId="0" applyNumberFormat="1"/>
    <xf numFmtId="172" fontId="0" fillId="0" borderId="0" xfId="0" applyNumberFormat="1"/>
    <xf numFmtId="0" fontId="35" fillId="0" borderId="0" xfId="0" applyFont="1" applyAlignment="1">
      <alignment horizontal="left" indent="1"/>
    </xf>
    <xf numFmtId="172" fontId="35" fillId="0" borderId="0" xfId="0" applyNumberFormat="1" applyFont="1"/>
    <xf numFmtId="173" fontId="0" fillId="0" borderId="0" xfId="9" applyNumberFormat="1" applyFont="1" applyAlignment="1">
      <alignment horizontal="center"/>
    </xf>
    <xf numFmtId="165" fontId="0" fillId="27" borderId="1" xfId="0" applyNumberFormat="1" applyFill="1" applyBorder="1"/>
    <xf numFmtId="0" fontId="0" fillId="46" borderId="0" xfId="0" applyFill="1"/>
    <xf numFmtId="0" fontId="2" fillId="45" borderId="1" xfId="0" applyFont="1" applyFill="1" applyBorder="1" applyAlignment="1">
      <alignment horizontal="center"/>
    </xf>
    <xf numFmtId="0" fontId="0" fillId="46" borderId="2" xfId="0" applyFill="1" applyBorder="1" applyAlignment="1">
      <alignment horizontal="right"/>
    </xf>
    <xf numFmtId="0" fontId="2" fillId="47" borderId="67" xfId="0" applyFont="1" applyFill="1" applyBorder="1"/>
    <xf numFmtId="172" fontId="0" fillId="11" borderId="1" xfId="0" applyNumberFormat="1" applyFill="1" applyBorder="1" applyAlignment="1">
      <alignment horizontal="right"/>
    </xf>
    <xf numFmtId="17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right"/>
    </xf>
    <xf numFmtId="0" fontId="0" fillId="11" borderId="1" xfId="0" applyFill="1" applyBorder="1" applyAlignment="1">
      <alignment horizontal="center"/>
    </xf>
    <xf numFmtId="0" fontId="0" fillId="46" borderId="1" xfId="0" applyFill="1" applyBorder="1" applyAlignment="1">
      <alignment horizontal="right"/>
    </xf>
    <xf numFmtId="0" fontId="0" fillId="46" borderId="72" xfId="0" applyFill="1" applyBorder="1" applyAlignment="1">
      <alignment horizontal="right"/>
    </xf>
    <xf numFmtId="0" fontId="0" fillId="46" borderId="57" xfId="0" applyFill="1" applyBorder="1" applyAlignment="1">
      <alignment horizontal="right"/>
    </xf>
    <xf numFmtId="165" fontId="0" fillId="14" borderId="1" xfId="0" applyNumberFormat="1" applyFill="1" applyBorder="1"/>
    <xf numFmtId="9" fontId="0" fillId="11" borderId="1" xfId="2" applyFont="1" applyFill="1" applyBorder="1" applyAlignment="1">
      <alignment horizontal="center"/>
    </xf>
    <xf numFmtId="165" fontId="2" fillId="45" borderId="1" xfId="0" applyNumberFormat="1" applyFont="1" applyFill="1" applyBorder="1"/>
    <xf numFmtId="165" fontId="35" fillId="14" borderId="1" xfId="0" applyNumberFormat="1" applyFont="1" applyFill="1" applyBorder="1"/>
    <xf numFmtId="165" fontId="0" fillId="11" borderId="1" xfId="0" applyNumberFormat="1" applyFill="1" applyBorder="1"/>
    <xf numFmtId="165" fontId="0" fillId="46" borderId="1" xfId="0" applyNumberFormat="1" applyFill="1" applyBorder="1"/>
    <xf numFmtId="9" fontId="0" fillId="46" borderId="1" xfId="2" applyFont="1" applyFill="1" applyBorder="1"/>
    <xf numFmtId="165" fontId="0" fillId="46" borderId="72" xfId="0" applyNumberFormat="1" applyFill="1" applyBorder="1"/>
    <xf numFmtId="165" fontId="0" fillId="46" borderId="67" xfId="0" applyNumberFormat="1" applyFill="1" applyBorder="1"/>
    <xf numFmtId="9" fontId="0" fillId="46" borderId="118" xfId="2" applyFont="1" applyFill="1" applyBorder="1"/>
    <xf numFmtId="9" fontId="0" fillId="46" borderId="92" xfId="2" applyFont="1" applyFill="1" applyBorder="1"/>
    <xf numFmtId="165" fontId="0" fillId="11" borderId="1" xfId="2" applyNumberFormat="1" applyFont="1" applyFill="1" applyBorder="1"/>
    <xf numFmtId="171" fontId="0" fillId="11" borderId="1" xfId="0" applyNumberFormat="1" applyFill="1" applyBorder="1" applyAlignment="1">
      <alignment horizontal="center"/>
    </xf>
    <xf numFmtId="165" fontId="0" fillId="0" borderId="0" xfId="2" applyNumberFormat="1" applyFont="1"/>
    <xf numFmtId="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63" fillId="0" borderId="32" xfId="0" applyFont="1" applyBorder="1"/>
    <xf numFmtId="0" fontId="0" fillId="0" borderId="32" xfId="0" applyBorder="1" applyAlignment="1">
      <alignment horizontal="center"/>
    </xf>
    <xf numFmtId="0" fontId="31" fillId="0" borderId="0" xfId="0" applyFont="1"/>
    <xf numFmtId="0" fontId="64" fillId="48" borderId="0" xfId="0" applyFont="1" applyFill="1"/>
    <xf numFmtId="0" fontId="0" fillId="48" borderId="0" xfId="0" applyFill="1"/>
    <xf numFmtId="0" fontId="35" fillId="0" borderId="32" xfId="0" applyFont="1" applyBorder="1" applyAlignment="1">
      <alignment horizontal="left"/>
    </xf>
    <xf numFmtId="9" fontId="35" fillId="14" borderId="32" xfId="2" applyFont="1" applyFill="1" applyBorder="1" applyAlignment="1">
      <alignment horizontal="center"/>
    </xf>
    <xf numFmtId="169" fontId="0" fillId="27" borderId="0" xfId="0" applyNumberFormat="1" applyFill="1"/>
    <xf numFmtId="0" fontId="0" fillId="0" borderId="0" xfId="0" applyAlignment="1">
      <alignment horizontal="right" vertical="top" indent="1"/>
    </xf>
    <xf numFmtId="0" fontId="52" fillId="0" borderId="1" xfId="0" applyFont="1" applyBorder="1"/>
    <xf numFmtId="0" fontId="51" fillId="47" borderId="72" xfId="0" applyFont="1" applyFill="1" applyBorder="1"/>
    <xf numFmtId="0" fontId="51" fillId="47" borderId="72" xfId="0" applyFont="1" applyFill="1" applyBorder="1" applyAlignment="1">
      <alignment horizontal="center"/>
    </xf>
    <xf numFmtId="0" fontId="65" fillId="42" borderId="54" xfId="0" applyFont="1" applyFill="1" applyBorder="1" applyAlignment="1">
      <alignment horizontal="center"/>
    </xf>
    <xf numFmtId="0" fontId="65" fillId="42" borderId="55" xfId="0" applyFont="1" applyFill="1" applyBorder="1" applyAlignment="1">
      <alignment horizontal="center"/>
    </xf>
    <xf numFmtId="0" fontId="65" fillId="42" borderId="125" xfId="0" applyFont="1" applyFill="1" applyBorder="1" applyAlignment="1">
      <alignment horizontal="center"/>
    </xf>
    <xf numFmtId="0" fontId="65" fillId="42" borderId="119" xfId="0" applyFont="1" applyFill="1" applyBorder="1" applyAlignment="1">
      <alignment horizontal="center"/>
    </xf>
    <xf numFmtId="0" fontId="65" fillId="14" borderId="1" xfId="0" applyFont="1" applyFill="1" applyBorder="1"/>
    <xf numFmtId="9" fontId="52" fillId="0" borderId="54" xfId="2" applyFont="1" applyFill="1" applyBorder="1" applyAlignment="1">
      <alignment horizontal="center"/>
    </xf>
    <xf numFmtId="169" fontId="52" fillId="0" borderId="54" xfId="1" applyNumberFormat="1" applyFont="1" applyFill="1" applyBorder="1" applyAlignment="1">
      <alignment horizontal="center"/>
    </xf>
    <xf numFmtId="171" fontId="52" fillId="0" borderId="126" xfId="0" applyNumberFormat="1" applyFont="1" applyBorder="1" applyAlignment="1">
      <alignment horizontal="center"/>
    </xf>
    <xf numFmtId="169" fontId="52" fillId="0" borderId="127" xfId="0" applyNumberFormat="1" applyFont="1" applyBorder="1" applyAlignment="1">
      <alignment horizontal="center"/>
    </xf>
    <xf numFmtId="169" fontId="52" fillId="0" borderId="128" xfId="0" applyNumberFormat="1" applyFont="1" applyBorder="1" applyAlignment="1">
      <alignment horizontal="center"/>
    </xf>
    <xf numFmtId="9" fontId="66" fillId="10" borderId="54" xfId="2" applyFont="1" applyFill="1" applyBorder="1" applyAlignment="1">
      <alignment horizontal="center"/>
    </xf>
    <xf numFmtId="171" fontId="52" fillId="0" borderId="77" xfId="0" applyNumberFormat="1" applyFont="1" applyBorder="1" applyAlignment="1">
      <alignment horizontal="center"/>
    </xf>
    <xf numFmtId="169" fontId="52" fillId="0" borderId="78" xfId="0" applyNumberFormat="1" applyFont="1" applyBorder="1" applyAlignment="1">
      <alignment horizontal="center"/>
    </xf>
    <xf numFmtId="169" fontId="52" fillId="0" borderId="129" xfId="0" applyNumberFormat="1" applyFont="1" applyBorder="1" applyAlignment="1">
      <alignment horizontal="center"/>
    </xf>
    <xf numFmtId="0" fontId="65" fillId="0" borderId="1" xfId="0" applyFont="1" applyBorder="1"/>
    <xf numFmtId="0" fontId="65" fillId="12" borderId="1" xfId="0" applyFont="1" applyFill="1" applyBorder="1"/>
    <xf numFmtId="9" fontId="52" fillId="12" borderId="54" xfId="2" applyFont="1" applyFill="1" applyBorder="1" applyAlignment="1">
      <alignment horizontal="center"/>
    </xf>
    <xf numFmtId="9" fontId="66" fillId="12" borderId="54" xfId="2" applyFont="1" applyFill="1" applyBorder="1" applyAlignment="1">
      <alignment horizontal="center"/>
    </xf>
    <xf numFmtId="169" fontId="52" fillId="27" borderId="54" xfId="1" applyNumberFormat="1" applyFont="1" applyFill="1" applyBorder="1" applyAlignment="1">
      <alignment horizontal="center"/>
    </xf>
    <xf numFmtId="169" fontId="52" fillId="0" borderId="87" xfId="0" applyNumberFormat="1" applyFont="1" applyBorder="1" applyAlignment="1">
      <alignment horizontal="center"/>
    </xf>
    <xf numFmtId="9" fontId="52" fillId="0" borderId="86" xfId="0" applyNumberFormat="1" applyFont="1" applyBorder="1" applyAlignment="1">
      <alignment horizontal="center"/>
    </xf>
    <xf numFmtId="169" fontId="52" fillId="0" borderId="130" xfId="0" applyNumberFormat="1" applyFont="1" applyBorder="1" applyAlignment="1">
      <alignment horizontal="center"/>
    </xf>
    <xf numFmtId="169" fontId="0" fillId="0" borderId="0" xfId="0" applyNumberFormat="1" applyAlignment="1">
      <alignment horizontal="center"/>
    </xf>
    <xf numFmtId="169" fontId="52" fillId="0" borderId="0" xfId="0" applyNumberFormat="1" applyFont="1" applyAlignment="1">
      <alignment horizontal="center"/>
    </xf>
    <xf numFmtId="9" fontId="52" fillId="0" borderId="0" xfId="2" applyFont="1" applyBorder="1"/>
    <xf numFmtId="0" fontId="59" fillId="0" borderId="93" xfId="0" applyFont="1" applyBorder="1"/>
    <xf numFmtId="0" fontId="0" fillId="0" borderId="93" xfId="0" applyBorder="1"/>
    <xf numFmtId="0" fontId="51" fillId="47" borderId="1" xfId="0" applyFont="1" applyFill="1" applyBorder="1" applyAlignment="1">
      <alignment wrapText="1"/>
    </xf>
    <xf numFmtId="0" fontId="51" fillId="45" borderId="1" xfId="0" applyFont="1" applyFill="1" applyBorder="1" applyAlignment="1">
      <alignment wrapText="1"/>
    </xf>
    <xf numFmtId="0" fontId="51" fillId="47" borderId="72" xfId="0" applyFont="1" applyFill="1" applyBorder="1" applyAlignment="1">
      <alignment wrapText="1"/>
    </xf>
    <xf numFmtId="0" fontId="51" fillId="45" borderId="72" xfId="0" applyFont="1" applyFill="1" applyBorder="1" applyAlignment="1">
      <alignment wrapText="1"/>
    </xf>
    <xf numFmtId="0" fontId="51" fillId="45" borderId="72" xfId="0" applyFont="1" applyFill="1" applyBorder="1" applyAlignment="1">
      <alignment horizontal="center" vertical="center" wrapText="1"/>
    </xf>
    <xf numFmtId="169" fontId="65" fillId="0" borderId="1" xfId="1" applyNumberFormat="1" applyFont="1" applyFill="1" applyBorder="1"/>
    <xf numFmtId="9" fontId="67" fillId="0" borderId="54" xfId="2" applyFont="1" applyFill="1" applyBorder="1" applyAlignment="1">
      <alignment horizontal="center"/>
    </xf>
    <xf numFmtId="169" fontId="65" fillId="0" borderId="1" xfId="1" applyNumberFormat="1" applyFont="1" applyBorder="1"/>
    <xf numFmtId="169" fontId="65" fillId="0" borderId="1" xfId="1" applyNumberFormat="1" applyFont="1" applyFill="1" applyBorder="1" applyAlignment="1">
      <alignment horizontal="center" vertical="center"/>
    </xf>
    <xf numFmtId="9" fontId="53" fillId="12" borderId="1" xfId="2" applyFont="1" applyFill="1" applyBorder="1"/>
    <xf numFmtId="169" fontId="65" fillId="27" borderId="1" xfId="1" applyNumberFormat="1" applyFont="1" applyFill="1" applyBorder="1" applyAlignment="1">
      <alignment horizontal="center" vertical="center"/>
    </xf>
    <xf numFmtId="169" fontId="65" fillId="49" borderId="1" xfId="1" applyNumberFormat="1" applyFont="1" applyFill="1" applyBorder="1" applyAlignment="1">
      <alignment horizontal="center" vertical="center"/>
    </xf>
    <xf numFmtId="171" fontId="0" fillId="0" borderId="0" xfId="2" applyNumberFormat="1" applyFont="1"/>
    <xf numFmtId="165" fontId="0" fillId="0" borderId="35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69" fontId="0" fillId="0" borderId="35" xfId="0" applyNumberForma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69" fontId="3" fillId="4" borderId="15" xfId="0" applyNumberFormat="1" applyFont="1" applyFill="1" applyBorder="1" applyAlignment="1">
      <alignment horizontal="center" vertical="center"/>
    </xf>
    <xf numFmtId="0" fontId="3" fillId="19" borderId="27" xfId="0" applyFont="1" applyFill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1" fillId="3" borderId="11" xfId="0" applyFont="1" applyFill="1" applyBorder="1"/>
    <xf numFmtId="0" fontId="41" fillId="3" borderId="3" xfId="0" applyFont="1" applyFill="1" applyBorder="1"/>
    <xf numFmtId="0" fontId="41" fillId="3" borderId="3" xfId="0" applyFont="1" applyFill="1" applyBorder="1" applyAlignment="1">
      <alignment horizontal="center" vertical="center"/>
    </xf>
    <xf numFmtId="0" fontId="41" fillId="3" borderId="12" xfId="0" applyFont="1" applyFill="1" applyBorder="1" applyAlignment="1">
      <alignment horizontal="center" vertical="center"/>
    </xf>
    <xf numFmtId="0" fontId="0" fillId="15" borderId="11" xfId="0" applyFill="1" applyBorder="1"/>
    <xf numFmtId="0" fontId="0" fillId="15" borderId="3" xfId="0" applyFill="1" applyBorder="1"/>
    <xf numFmtId="0" fontId="0" fillId="15" borderId="3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/>
    </xf>
    <xf numFmtId="0" fontId="0" fillId="3" borderId="107" xfId="0" applyFill="1" applyBorder="1" applyAlignment="1">
      <alignment horizontal="center"/>
    </xf>
    <xf numFmtId="0" fontId="0" fillId="3" borderId="96" xfId="0" applyFill="1" applyBorder="1" applyAlignment="1">
      <alignment horizontal="center"/>
    </xf>
    <xf numFmtId="164" fontId="35" fillId="3" borderId="96" xfId="0" applyNumberFormat="1" applyFont="1" applyFill="1" applyBorder="1" applyAlignment="1">
      <alignment horizontal="center"/>
    </xf>
    <xf numFmtId="0" fontId="0" fillId="3" borderId="96" xfId="0" applyFill="1" applyBorder="1" applyAlignment="1">
      <alignment horizontal="center" vertical="top"/>
    </xf>
    <xf numFmtId="0" fontId="2" fillId="19" borderId="50" xfId="0" applyFont="1" applyFill="1" applyBorder="1" applyAlignment="1">
      <alignment horizontal="center" vertical="center" wrapText="1"/>
    </xf>
    <xf numFmtId="0" fontId="2" fillId="19" borderId="51" xfId="0" applyFont="1" applyFill="1" applyBorder="1" applyAlignment="1">
      <alignment horizontal="center" vertical="center"/>
    </xf>
    <xf numFmtId="0" fontId="2" fillId="19" borderId="51" xfId="0" applyFont="1" applyFill="1" applyBorder="1" applyAlignment="1">
      <alignment horizontal="center" vertical="center" wrapText="1"/>
    </xf>
    <xf numFmtId="0" fontId="37" fillId="19" borderId="51" xfId="0" applyFont="1" applyFill="1" applyBorder="1" applyAlignment="1">
      <alignment horizontal="center" vertical="center" wrapText="1"/>
    </xf>
    <xf numFmtId="0" fontId="37" fillId="19" borderId="5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/>
    </xf>
    <xf numFmtId="168" fontId="0" fillId="3" borderId="12" xfId="0" applyNumberFormat="1" applyFill="1" applyBorder="1" applyAlignment="1">
      <alignment horizontal="center" vertical="center"/>
    </xf>
    <xf numFmtId="168" fontId="0" fillId="3" borderId="15" xfId="0" applyNumberFormat="1" applyFill="1" applyBorder="1" applyAlignment="1">
      <alignment horizontal="center" vertical="center"/>
    </xf>
    <xf numFmtId="0" fontId="3" fillId="22" borderId="27" xfId="0" applyFont="1" applyFill="1" applyBorder="1" applyAlignment="1">
      <alignment horizontal="center" vertical="center"/>
    </xf>
    <xf numFmtId="0" fontId="3" fillId="22" borderId="2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9" fillId="4" borderId="11" xfId="0" applyFont="1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168" fontId="0" fillId="3" borderId="48" xfId="0" applyNumberForma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168" fontId="0" fillId="3" borderId="35" xfId="0" applyNumberForma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3" fillId="22" borderId="31" xfId="0" applyFont="1" applyFill="1" applyBorder="1" applyAlignment="1">
      <alignment horizontal="center" vertical="center"/>
    </xf>
    <xf numFmtId="168" fontId="0" fillId="3" borderId="33" xfId="0" applyNumberFormat="1" applyFill="1" applyBorder="1" applyAlignment="1">
      <alignment horizontal="center" vertical="center"/>
    </xf>
    <xf numFmtId="168" fontId="0" fillId="3" borderId="11" xfId="0" applyNumberFormat="1" applyFill="1" applyBorder="1" applyAlignment="1">
      <alignment horizontal="center" vertical="center"/>
    </xf>
    <xf numFmtId="168" fontId="0" fillId="3" borderId="13" xfId="0" applyNumberFormat="1" applyFill="1" applyBorder="1" applyAlignment="1">
      <alignment horizontal="center" vertical="center"/>
    </xf>
    <xf numFmtId="168" fontId="0" fillId="3" borderId="47" xfId="0" applyNumberFormat="1" applyFill="1" applyBorder="1" applyAlignment="1">
      <alignment horizontal="center" vertical="center"/>
    </xf>
    <xf numFmtId="0" fontId="68" fillId="2" borderId="131" xfId="0" applyFont="1" applyFill="1" applyBorder="1" applyAlignment="1">
      <alignment horizontal="center" vertical="center" wrapText="1"/>
    </xf>
    <xf numFmtId="0" fontId="68" fillId="2" borderId="18" xfId="0" applyFont="1" applyFill="1" applyBorder="1" applyAlignment="1">
      <alignment horizontal="center" vertical="center" wrapText="1"/>
    </xf>
    <xf numFmtId="0" fontId="70" fillId="2" borderId="18" xfId="0" applyFont="1" applyFill="1" applyBorder="1" applyAlignment="1">
      <alignment horizontal="center" vertical="center" wrapText="1"/>
    </xf>
    <xf numFmtId="0" fontId="68" fillId="2" borderId="19" xfId="0" applyFont="1" applyFill="1" applyBorder="1" applyAlignment="1">
      <alignment horizontal="center" vertical="center" wrapText="1"/>
    </xf>
    <xf numFmtId="0" fontId="2" fillId="3" borderId="132" xfId="0" applyFont="1" applyFill="1" applyBorder="1" applyAlignment="1">
      <alignment horizontal="center" vertical="center" wrapText="1"/>
    </xf>
    <xf numFmtId="0" fontId="3" fillId="22" borderId="32" xfId="0" applyFont="1" applyFill="1" applyBorder="1" applyAlignment="1">
      <alignment horizontal="center" vertical="center"/>
    </xf>
    <xf numFmtId="9" fontId="42" fillId="3" borderId="133" xfId="0" applyNumberFormat="1" applyFont="1" applyFill="1" applyBorder="1" applyAlignment="1">
      <alignment horizontal="center" vertical="center"/>
    </xf>
    <xf numFmtId="9" fontId="42" fillId="3" borderId="37" xfId="0" applyNumberFormat="1" applyFont="1" applyFill="1" applyBorder="1" applyAlignment="1">
      <alignment horizontal="center" vertical="center"/>
    </xf>
    <xf numFmtId="9" fontId="43" fillId="3" borderId="37" xfId="0" applyNumberFormat="1" applyFont="1" applyFill="1" applyBorder="1" applyAlignment="1">
      <alignment horizontal="center" vertical="center"/>
    </xf>
    <xf numFmtId="9" fontId="42" fillId="3" borderId="38" xfId="0" applyNumberFormat="1" applyFont="1" applyFill="1" applyBorder="1" applyAlignment="1">
      <alignment horizontal="center" vertical="center"/>
    </xf>
    <xf numFmtId="9" fontId="2" fillId="3" borderId="45" xfId="0" applyNumberFormat="1" applyFont="1" applyFill="1" applyBorder="1" applyAlignment="1">
      <alignment horizontal="center" vertical="center"/>
    </xf>
    <xf numFmtId="0" fontId="4" fillId="3" borderId="0" xfId="0" applyFont="1" applyFill="1"/>
    <xf numFmtId="0" fontId="3" fillId="4" borderId="32" xfId="0" applyFont="1" applyFill="1" applyBorder="1" applyAlignment="1">
      <alignment horizontal="center" vertical="center"/>
    </xf>
    <xf numFmtId="0" fontId="0" fillId="50" borderId="11" xfId="0" applyFill="1" applyBorder="1"/>
    <xf numFmtId="0" fontId="0" fillId="50" borderId="18" xfId="0" applyFill="1" applyBorder="1"/>
    <xf numFmtId="0" fontId="0" fillId="50" borderId="40" xfId="0" applyFill="1" applyBorder="1"/>
    <xf numFmtId="14" fontId="0" fillId="50" borderId="40" xfId="0" applyNumberFormat="1" applyFill="1" applyBorder="1" applyAlignment="1">
      <alignment horizontal="center" vertical="center"/>
    </xf>
    <xf numFmtId="1" fontId="0" fillId="50" borderId="11" xfId="0" applyNumberFormat="1" applyFill="1" applyBorder="1"/>
    <xf numFmtId="1" fontId="0" fillId="50" borderId="3" xfId="0" applyNumberFormat="1" applyFill="1" applyBorder="1"/>
    <xf numFmtId="1" fontId="0" fillId="50" borderId="12" xfId="0" applyNumberFormat="1" applyFill="1" applyBorder="1"/>
    <xf numFmtId="1" fontId="0" fillId="50" borderId="16" xfId="0" applyNumberFormat="1" applyFill="1" applyBorder="1"/>
    <xf numFmtId="1" fontId="0" fillId="50" borderId="18" xfId="0" applyNumberFormat="1" applyFill="1" applyBorder="1"/>
    <xf numFmtId="0" fontId="0" fillId="30" borderId="18" xfId="0" applyFill="1" applyBorder="1"/>
    <xf numFmtId="0" fontId="0" fillId="30" borderId="40" xfId="0" applyFill="1" applyBorder="1"/>
    <xf numFmtId="14" fontId="0" fillId="30" borderId="40" xfId="0" applyNumberFormat="1" applyFill="1" applyBorder="1" applyAlignment="1">
      <alignment horizontal="center" vertical="center"/>
    </xf>
    <xf numFmtId="1" fontId="0" fillId="30" borderId="11" xfId="0" applyNumberFormat="1" applyFill="1" applyBorder="1"/>
    <xf numFmtId="1" fontId="0" fillId="30" borderId="3" xfId="0" applyNumberFormat="1" applyFill="1" applyBorder="1"/>
    <xf numFmtId="1" fontId="0" fillId="30" borderId="12" xfId="0" applyNumberFormat="1" applyFill="1" applyBorder="1"/>
    <xf numFmtId="1" fontId="0" fillId="30" borderId="16" xfId="0" applyNumberFormat="1" applyFill="1" applyBorder="1"/>
    <xf numFmtId="1" fontId="0" fillId="30" borderId="18" xfId="0" applyNumberFormat="1" applyFill="1" applyBorder="1"/>
    <xf numFmtId="9" fontId="0" fillId="30" borderId="11" xfId="2" applyFont="1" applyFill="1" applyBorder="1" applyAlignment="1">
      <alignment horizontal="center" vertical="center"/>
    </xf>
    <xf numFmtId="1" fontId="0" fillId="30" borderId="11" xfId="0" applyNumberFormat="1" applyFill="1" applyBorder="1" applyAlignment="1">
      <alignment horizontal="center" vertical="center"/>
    </xf>
    <xf numFmtId="1" fontId="0" fillId="30" borderId="12" xfId="0" applyNumberFormat="1" applyFill="1" applyBorder="1" applyAlignment="1">
      <alignment horizontal="center" vertical="center"/>
    </xf>
    <xf numFmtId="0" fontId="3" fillId="19" borderId="28" xfId="0" applyFont="1" applyFill="1" applyBorder="1" applyAlignment="1">
      <alignment horizontal="center" vertical="center"/>
    </xf>
    <xf numFmtId="6" fontId="0" fillId="0" borderId="25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6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7" borderId="12" xfId="0" applyFill="1" applyBorder="1" applyAlignment="1">
      <alignment horizontal="center"/>
    </xf>
    <xf numFmtId="6" fontId="0" fillId="0" borderId="43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6" fontId="3" fillId="0" borderId="30" xfId="0" applyNumberFormat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7" borderId="11" xfId="0" applyFill="1" applyBorder="1" applyAlignment="1">
      <alignment horizontal="left"/>
    </xf>
    <xf numFmtId="0" fontId="0" fillId="0" borderId="42" xfId="0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9" fontId="0" fillId="3" borderId="12" xfId="0" applyNumberFormat="1" applyFill="1" applyBorder="1" applyAlignment="1">
      <alignment horizontal="center" vertical="center"/>
    </xf>
    <xf numFmtId="1" fontId="0" fillId="50" borderId="12" xfId="0" applyNumberFormat="1" applyFill="1" applyBorder="1" applyAlignment="1">
      <alignment horizontal="center" vertical="center"/>
    </xf>
    <xf numFmtId="9" fontId="0" fillId="3" borderId="23" xfId="2" applyFont="1" applyFill="1" applyBorder="1" applyAlignment="1">
      <alignment horizontal="center" vertical="center"/>
    </xf>
    <xf numFmtId="9" fontId="0" fillId="3" borderId="12" xfId="2" applyFont="1" applyFill="1" applyBorder="1" applyAlignment="1">
      <alignment horizontal="center" vertical="center"/>
    </xf>
    <xf numFmtId="9" fontId="0" fillId="30" borderId="12" xfId="2" applyFont="1" applyFill="1" applyBorder="1" applyAlignment="1">
      <alignment horizontal="center" vertical="center"/>
    </xf>
    <xf numFmtId="9" fontId="0" fillId="50" borderId="11" xfId="2" applyFont="1" applyFill="1" applyBorder="1" applyAlignment="1">
      <alignment horizontal="center" vertical="center"/>
    </xf>
    <xf numFmtId="9" fontId="0" fillId="50" borderId="12" xfId="2" applyFont="1" applyFill="1" applyBorder="1" applyAlignment="1">
      <alignment horizontal="center" vertical="center"/>
    </xf>
    <xf numFmtId="9" fontId="0" fillId="3" borderId="15" xfId="2" applyFont="1" applyFill="1" applyBorder="1" applyAlignment="1">
      <alignment horizontal="center" vertical="center"/>
    </xf>
    <xf numFmtId="1" fontId="0" fillId="3" borderId="22" xfId="2" applyNumberFormat="1" applyFont="1" applyFill="1" applyBorder="1" applyAlignment="1">
      <alignment horizontal="center" vertical="center"/>
    </xf>
    <xf numFmtId="1" fontId="0" fillId="3" borderId="23" xfId="2" applyNumberFormat="1" applyFont="1" applyFill="1" applyBorder="1" applyAlignment="1">
      <alignment horizontal="center" vertical="center"/>
    </xf>
    <xf numFmtId="1" fontId="0" fillId="3" borderId="11" xfId="2" applyNumberFormat="1" applyFont="1" applyFill="1" applyBorder="1" applyAlignment="1">
      <alignment horizontal="center" vertical="center"/>
    </xf>
    <xf numFmtId="1" fontId="0" fillId="3" borderId="12" xfId="2" applyNumberFormat="1" applyFont="1" applyFill="1" applyBorder="1" applyAlignment="1">
      <alignment horizontal="center" vertical="center"/>
    </xf>
    <xf numFmtId="1" fontId="0" fillId="30" borderId="11" xfId="2" applyNumberFormat="1" applyFont="1" applyFill="1" applyBorder="1" applyAlignment="1">
      <alignment horizontal="center" vertical="center"/>
    </xf>
    <xf numFmtId="1" fontId="0" fillId="30" borderId="12" xfId="2" applyNumberFormat="1" applyFont="1" applyFill="1" applyBorder="1" applyAlignment="1">
      <alignment horizontal="center" vertical="center"/>
    </xf>
    <xf numFmtId="1" fontId="0" fillId="50" borderId="11" xfId="2" applyNumberFormat="1" applyFont="1" applyFill="1" applyBorder="1" applyAlignment="1">
      <alignment horizontal="center" vertical="center"/>
    </xf>
    <xf numFmtId="1" fontId="0" fillId="50" borderId="12" xfId="2" applyNumberFormat="1" applyFont="1" applyFill="1" applyBorder="1" applyAlignment="1">
      <alignment horizontal="center" vertical="center"/>
    </xf>
    <xf numFmtId="1" fontId="0" fillId="3" borderId="13" xfId="2" applyNumberFormat="1" applyFont="1" applyFill="1" applyBorder="1" applyAlignment="1">
      <alignment horizontal="center" vertical="center"/>
    </xf>
    <xf numFmtId="1" fontId="0" fillId="3" borderId="15" xfId="2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1" fontId="0" fillId="50" borderId="11" xfId="0" applyNumberFormat="1" applyFill="1" applyBorder="1" applyAlignment="1">
      <alignment horizontal="center" vertical="center"/>
    </xf>
    <xf numFmtId="9" fontId="0" fillId="3" borderId="0" xfId="2" applyFont="1" applyFill="1"/>
    <xf numFmtId="0" fontId="37" fillId="3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center" vertical="center"/>
    </xf>
    <xf numFmtId="0" fontId="35" fillId="3" borderId="49" xfId="0" applyFont="1" applyFill="1" applyBorder="1" applyAlignment="1">
      <alignment horizontal="center" vertical="center"/>
    </xf>
    <xf numFmtId="0" fontId="37" fillId="42" borderId="114" xfId="0" applyFont="1" applyFill="1" applyBorder="1" applyAlignment="1">
      <alignment horizontal="center" vertical="center" wrapText="1"/>
    </xf>
    <xf numFmtId="0" fontId="37" fillId="42" borderId="134" xfId="0" applyFont="1" applyFill="1" applyBorder="1" applyAlignment="1">
      <alignment horizontal="center" vertical="center" wrapText="1"/>
    </xf>
    <xf numFmtId="0" fontId="29" fillId="40" borderId="42" xfId="0" applyFont="1" applyFill="1" applyBorder="1" applyAlignment="1">
      <alignment horizontal="center" vertical="center"/>
    </xf>
    <xf numFmtId="0" fontId="29" fillId="40" borderId="44" xfId="0" applyFont="1" applyFill="1" applyBorder="1" applyAlignment="1">
      <alignment horizontal="center" vertical="center"/>
    </xf>
    <xf numFmtId="165" fontId="35" fillId="3" borderId="33" xfId="0" applyNumberFormat="1" applyFont="1" applyFill="1" applyBorder="1" applyAlignment="1">
      <alignment horizontal="center" vertical="center"/>
    </xf>
    <xf numFmtId="165" fontId="35" fillId="3" borderId="11" xfId="0" applyNumberFormat="1" applyFont="1" applyFill="1" applyBorder="1" applyAlignment="1">
      <alignment horizontal="center" vertical="center"/>
    </xf>
    <xf numFmtId="165" fontId="35" fillId="3" borderId="13" xfId="0" applyNumberFormat="1" applyFont="1" applyFill="1" applyBorder="1" applyAlignment="1">
      <alignment horizontal="center" vertical="center"/>
    </xf>
    <xf numFmtId="0" fontId="35" fillId="3" borderId="131" xfId="0" applyFont="1" applyFill="1" applyBorder="1" applyAlignment="1">
      <alignment horizontal="center" vertical="center"/>
    </xf>
    <xf numFmtId="0" fontId="35" fillId="3" borderId="18" xfId="0" applyFont="1" applyFill="1" applyBorder="1" applyAlignment="1">
      <alignment horizontal="center" vertical="center"/>
    </xf>
    <xf numFmtId="0" fontId="35" fillId="3" borderId="19" xfId="0" applyFont="1" applyFill="1" applyBorder="1" applyAlignment="1">
      <alignment horizontal="center" vertical="center"/>
    </xf>
    <xf numFmtId="170" fontId="35" fillId="3" borderId="33" xfId="0" applyNumberFormat="1" applyFont="1" applyFill="1" applyBorder="1" applyAlignment="1">
      <alignment horizontal="center" vertical="center"/>
    </xf>
    <xf numFmtId="170" fontId="35" fillId="3" borderId="11" xfId="0" applyNumberFormat="1" applyFont="1" applyFill="1" applyBorder="1" applyAlignment="1">
      <alignment horizontal="center" vertical="center"/>
    </xf>
    <xf numFmtId="170" fontId="35" fillId="3" borderId="13" xfId="0" applyNumberFormat="1" applyFont="1" applyFill="1" applyBorder="1" applyAlignment="1">
      <alignment horizontal="center" vertical="center"/>
    </xf>
    <xf numFmtId="1" fontId="35" fillId="3" borderId="33" xfId="0" applyNumberFormat="1" applyFont="1" applyFill="1" applyBorder="1" applyAlignment="1">
      <alignment horizontal="center" vertical="center"/>
    </xf>
    <xf numFmtId="1" fontId="35" fillId="3" borderId="11" xfId="0" applyNumberFormat="1" applyFont="1" applyFill="1" applyBorder="1" applyAlignment="1">
      <alignment horizontal="center" vertical="center"/>
    </xf>
    <xf numFmtId="1" fontId="35" fillId="3" borderId="13" xfId="0" applyNumberFormat="1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left" wrapText="1"/>
    </xf>
    <xf numFmtId="0" fontId="35" fillId="3" borderId="0" xfId="0" applyFont="1" applyFill="1" applyBorder="1" applyAlignment="1">
      <alignment horizontal="left"/>
    </xf>
    <xf numFmtId="0" fontId="37" fillId="2" borderId="27" xfId="0" applyFont="1" applyFill="1" applyBorder="1" applyAlignment="1">
      <alignment horizontal="center" vertical="center"/>
    </xf>
    <xf numFmtId="0" fontId="37" fillId="2" borderId="30" xfId="0" applyFont="1" applyFill="1" applyBorder="1" applyAlignment="1">
      <alignment horizontal="center" vertical="center"/>
    </xf>
    <xf numFmtId="0" fontId="29" fillId="40" borderId="27" xfId="0" applyFont="1" applyFill="1" applyBorder="1" applyAlignment="1">
      <alignment horizontal="center" vertical="center"/>
    </xf>
    <xf numFmtId="0" fontId="29" fillId="40" borderId="30" xfId="0" applyFont="1" applyFill="1" applyBorder="1" applyAlignment="1">
      <alignment horizontal="center" vertical="center"/>
    </xf>
    <xf numFmtId="0" fontId="29" fillId="40" borderId="28" xfId="0" applyFont="1" applyFill="1" applyBorder="1" applyAlignment="1">
      <alignment horizontal="center" vertical="center"/>
    </xf>
    <xf numFmtId="0" fontId="37" fillId="2" borderId="31" xfId="0" applyFont="1" applyFill="1" applyBorder="1" applyAlignment="1">
      <alignment horizontal="center" vertical="center" wrapText="1"/>
    </xf>
    <xf numFmtId="0" fontId="29" fillId="40" borderId="27" xfId="0" applyFont="1" applyFill="1" applyBorder="1" applyAlignment="1">
      <alignment horizontal="center" vertical="center" wrapText="1"/>
    </xf>
    <xf numFmtId="0" fontId="29" fillId="40" borderId="28" xfId="0" applyFont="1" applyFill="1" applyBorder="1" applyAlignment="1">
      <alignment horizontal="center" vertical="center" wrapText="1"/>
    </xf>
    <xf numFmtId="0" fontId="35" fillId="3" borderId="33" xfId="0" applyFont="1" applyFill="1" applyBorder="1" applyAlignment="1">
      <alignment horizontal="center" vertical="center"/>
    </xf>
    <xf numFmtId="0" fontId="35" fillId="3" borderId="35" xfId="0" applyFont="1" applyFill="1" applyBorder="1" applyAlignment="1">
      <alignment horizontal="center" vertical="center"/>
    </xf>
    <xf numFmtId="0" fontId="35" fillId="3" borderId="11" xfId="0" applyFont="1" applyFill="1" applyBorder="1" applyAlignment="1">
      <alignment horizontal="center" vertical="center"/>
    </xf>
    <xf numFmtId="0" fontId="35" fillId="3" borderId="12" xfId="0" applyFont="1" applyFill="1" applyBorder="1" applyAlignment="1">
      <alignment horizontal="center" vertical="center"/>
    </xf>
    <xf numFmtId="0" fontId="38" fillId="3" borderId="12" xfId="0" applyFont="1" applyFill="1" applyBorder="1" applyAlignment="1">
      <alignment horizontal="center" vertical="center"/>
    </xf>
    <xf numFmtId="0" fontId="31" fillId="3" borderId="12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5" fillId="3" borderId="15" xfId="0" applyFont="1" applyFill="1" applyBorder="1" applyAlignment="1">
      <alignment horizontal="center" vertical="center"/>
    </xf>
    <xf numFmtId="14" fontId="0" fillId="3" borderId="26" xfId="0" applyNumberFormat="1" applyFill="1" applyBorder="1" applyAlignment="1">
      <alignment horizontal="center" vertical="center"/>
    </xf>
    <xf numFmtId="14" fontId="0" fillId="3" borderId="132" xfId="0" applyNumberFormat="1" applyFill="1" applyBorder="1" applyAlignment="1">
      <alignment horizontal="center" vertical="center"/>
    </xf>
    <xf numFmtId="14" fontId="0" fillId="3" borderId="22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3" xfId="0" applyNumberFormat="1" applyFill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71" fillId="3" borderId="0" xfId="0" applyFont="1" applyFill="1"/>
    <xf numFmtId="0" fontId="72" fillId="3" borderId="0" xfId="0" applyFont="1" applyFill="1"/>
    <xf numFmtId="0" fontId="7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1" xfId="0" applyBorder="1"/>
    <xf numFmtId="169" fontId="0" fillId="0" borderId="1" xfId="0" applyNumberFormat="1" applyBorder="1" applyAlignment="1">
      <alignment horizontal="right"/>
    </xf>
    <xf numFmtId="165" fontId="0" fillId="0" borderId="1" xfId="0" applyNumberFormat="1" applyBorder="1"/>
    <xf numFmtId="165" fontId="0" fillId="51" borderId="1" xfId="0" applyNumberFormat="1" applyFill="1" applyBorder="1"/>
    <xf numFmtId="165" fontId="0" fillId="0" borderId="1" xfId="0" applyNumberFormat="1" applyBorder="1" applyAlignment="1">
      <alignment horizontal="right"/>
    </xf>
    <xf numFmtId="169" fontId="0" fillId="0" borderId="1" xfId="0" applyNumberFormat="1" applyBorder="1"/>
    <xf numFmtId="165" fontId="0" fillId="50" borderId="1" xfId="0" applyNumberFormat="1" applyFill="1" applyBorder="1"/>
    <xf numFmtId="0" fontId="0" fillId="37" borderId="1" xfId="0" applyFill="1" applyBorder="1"/>
    <xf numFmtId="0" fontId="0" fillId="37" borderId="1" xfId="0" applyFill="1" applyBorder="1" applyAlignment="1">
      <alignment horizontal="right"/>
    </xf>
    <xf numFmtId="0" fontId="0" fillId="37" borderId="1" xfId="0" applyFill="1" applyBorder="1" applyAlignment="1">
      <alignment horizontal="right" wrapText="1"/>
    </xf>
    <xf numFmtId="0" fontId="0" fillId="3" borderId="1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3" fillId="37" borderId="27" xfId="0" applyFont="1" applyFill="1" applyBorder="1" applyAlignment="1">
      <alignment horizontal="center" vertical="center"/>
    </xf>
    <xf numFmtId="0" fontId="3" fillId="37" borderId="30" xfId="0" applyFont="1" applyFill="1" applyBorder="1" applyAlignment="1">
      <alignment horizontal="center" vertical="center"/>
    </xf>
    <xf numFmtId="0" fontId="3" fillId="37" borderId="28" xfId="0" applyFont="1" applyFill="1" applyBorder="1" applyAlignment="1">
      <alignment horizontal="center" vertical="center"/>
    </xf>
    <xf numFmtId="2" fontId="35" fillId="3" borderId="0" xfId="0" applyNumberFormat="1" applyFont="1" applyFill="1" applyAlignment="1">
      <alignment horizontal="left"/>
    </xf>
    <xf numFmtId="0" fontId="74" fillId="3" borderId="0" xfId="0" applyFont="1" applyFill="1" applyAlignment="1">
      <alignment horizontal="left"/>
    </xf>
    <xf numFmtId="0" fontId="75" fillId="3" borderId="0" xfId="0" applyFont="1" applyFill="1" applyBorder="1"/>
    <xf numFmtId="0" fontId="3" fillId="21" borderId="114" xfId="0" applyFont="1" applyFill="1" applyBorder="1" applyAlignment="1">
      <alignment horizontal="center" vertical="center"/>
    </xf>
    <xf numFmtId="0" fontId="3" fillId="21" borderId="134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5" xfId="0" applyFill="1" applyBorder="1"/>
    <xf numFmtId="0" fontId="76" fillId="3" borderId="11" xfId="0" applyFont="1" applyFill="1" applyBorder="1" applyAlignment="1">
      <alignment horizontal="center" vertical="center"/>
    </xf>
    <xf numFmtId="0" fontId="76" fillId="3" borderId="12" xfId="0" applyFont="1" applyFill="1" applyBorder="1" applyAlignment="1">
      <alignment horizontal="center" vertical="center"/>
    </xf>
    <xf numFmtId="0" fontId="77" fillId="3" borderId="0" xfId="0" applyFont="1" applyFill="1"/>
    <xf numFmtId="0" fontId="0" fillId="17" borderId="37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164" fontId="0" fillId="17" borderId="3" xfId="0" applyNumberFormat="1" applyFill="1" applyBorder="1" applyAlignment="1">
      <alignment horizontal="center" vertical="center"/>
    </xf>
    <xf numFmtId="14" fontId="0" fillId="17" borderId="3" xfId="0" applyNumberFormat="1" applyFill="1" applyBorder="1" applyAlignment="1">
      <alignment horizontal="center" vertical="center"/>
    </xf>
    <xf numFmtId="1" fontId="0" fillId="17" borderId="3" xfId="0" applyNumberFormat="1" applyFill="1" applyBorder="1" applyAlignment="1">
      <alignment horizontal="center" vertical="center"/>
    </xf>
    <xf numFmtId="9" fontId="0" fillId="17" borderId="3" xfId="2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65" fontId="0" fillId="17" borderId="11" xfId="0" applyNumberFormat="1" applyFill="1" applyBorder="1" applyAlignment="1">
      <alignment horizontal="center" vertical="center"/>
    </xf>
    <xf numFmtId="165" fontId="0" fillId="17" borderId="3" xfId="0" applyNumberFormat="1" applyFill="1" applyBorder="1" applyAlignment="1">
      <alignment horizontal="center" vertical="center"/>
    </xf>
    <xf numFmtId="165" fontId="0" fillId="17" borderId="12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73" fontId="0" fillId="3" borderId="0" xfId="9" applyNumberFormat="1" applyFont="1" applyFill="1" applyAlignment="1">
      <alignment horizontal="center" vertical="center"/>
    </xf>
    <xf numFmtId="173" fontId="3" fillId="3" borderId="0" xfId="9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77" fillId="3" borderId="0" xfId="0" applyFont="1" applyFill="1" applyAlignment="1">
      <alignment horizontal="left" vertical="center"/>
    </xf>
    <xf numFmtId="14" fontId="0" fillId="30" borderId="11" xfId="0" applyNumberFormat="1" applyFill="1" applyBorder="1" applyAlignment="1">
      <alignment horizontal="center" vertical="center"/>
    </xf>
    <xf numFmtId="14" fontId="0" fillId="30" borderId="3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7" xfId="0" applyFill="1" applyBorder="1" applyAlignment="1">
      <alignment horizontal="center" vertical="center"/>
    </xf>
    <xf numFmtId="0" fontId="0" fillId="3" borderId="137" xfId="0" applyFill="1" applyBorder="1" applyAlignment="1">
      <alignment horizontal="center" vertical="center"/>
    </xf>
    <xf numFmtId="0" fontId="0" fillId="3" borderId="78" xfId="0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67" xfId="0" applyFont="1" applyFill="1" applyBorder="1" applyAlignment="1">
      <alignment horizontal="center" vertical="center"/>
    </xf>
    <xf numFmtId="0" fontId="3" fillId="3" borderId="137" xfId="0" applyFont="1" applyFill="1" applyBorder="1" applyAlignment="1">
      <alignment horizontal="center" vertical="center"/>
    </xf>
    <xf numFmtId="0" fontId="3" fillId="3" borderId="78" xfId="0" applyFont="1" applyFill="1" applyBorder="1" applyAlignment="1">
      <alignment horizontal="center" vertical="center"/>
    </xf>
    <xf numFmtId="0" fontId="32" fillId="0" borderId="32" xfId="0" applyFont="1" applyBorder="1" applyAlignment="1">
      <alignment vertical="center" wrapText="1"/>
    </xf>
    <xf numFmtId="0" fontId="32" fillId="0" borderId="6" xfId="0" applyFont="1" applyBorder="1" applyAlignment="1">
      <alignment vertical="center" wrapText="1"/>
    </xf>
    <xf numFmtId="0" fontId="32" fillId="0" borderId="45" xfId="0" applyFont="1" applyBorder="1" applyAlignment="1">
      <alignment vertical="center"/>
    </xf>
    <xf numFmtId="0" fontId="32" fillId="0" borderId="46" xfId="0" applyFont="1" applyBorder="1" applyAlignment="1">
      <alignment vertical="center"/>
    </xf>
    <xf numFmtId="0" fontId="78" fillId="3" borderId="0" xfId="0" applyFont="1" applyFill="1"/>
    <xf numFmtId="0" fontId="45" fillId="0" borderId="0" xfId="0" applyFont="1" applyAlignment="1"/>
    <xf numFmtId="164" fontId="0" fillId="3" borderId="0" xfId="0" applyNumberFormat="1" applyFill="1" applyAlignment="1">
      <alignment horizontal="center" vertical="center"/>
    </xf>
    <xf numFmtId="0" fontId="3" fillId="2" borderId="114" xfId="0" applyFont="1" applyFill="1" applyBorder="1" applyAlignment="1">
      <alignment horizontal="center" vertical="center"/>
    </xf>
    <xf numFmtId="0" fontId="3" fillId="2" borderId="138" xfId="0" applyFont="1" applyFill="1" applyBorder="1" applyAlignment="1">
      <alignment horizontal="center" vertical="center"/>
    </xf>
    <xf numFmtId="0" fontId="3" fillId="2" borderId="115" xfId="0" applyFont="1" applyFill="1" applyBorder="1" applyAlignment="1">
      <alignment horizontal="center" vertical="center"/>
    </xf>
    <xf numFmtId="0" fontId="3" fillId="2" borderId="134" xfId="0" applyFont="1" applyFill="1" applyBorder="1" applyAlignment="1">
      <alignment horizontal="center" vertical="center"/>
    </xf>
    <xf numFmtId="14" fontId="0" fillId="3" borderId="3" xfId="0" applyNumberFormat="1" applyFill="1" applyBorder="1"/>
    <xf numFmtId="0" fontId="0" fillId="3" borderId="33" xfId="0" applyFill="1" applyBorder="1"/>
    <xf numFmtId="14" fontId="0" fillId="3" borderId="34" xfId="0" applyNumberFormat="1" applyFill="1" applyBorder="1"/>
    <xf numFmtId="1" fontId="0" fillId="3" borderId="34" xfId="0" applyNumberFormat="1" applyFill="1" applyBorder="1"/>
    <xf numFmtId="1" fontId="0" fillId="3" borderId="35" xfId="0" applyNumberFormat="1" applyFill="1" applyBorder="1"/>
    <xf numFmtId="0" fontId="3" fillId="44" borderId="115" xfId="0" applyFont="1" applyFill="1" applyBorder="1" applyAlignment="1">
      <alignment horizontal="center" vertical="center"/>
    </xf>
    <xf numFmtId="1" fontId="0" fillId="44" borderId="34" xfId="0" applyNumberFormat="1" applyFill="1" applyBorder="1"/>
    <xf numFmtId="1" fontId="0" fillId="44" borderId="3" xfId="0" applyNumberFormat="1" applyFill="1" applyBorder="1"/>
    <xf numFmtId="0" fontId="0" fillId="44" borderId="3" xfId="0" applyFill="1" applyBorder="1"/>
    <xf numFmtId="0" fontId="0" fillId="44" borderId="14" xfId="0" applyFill="1" applyBorder="1"/>
    <xf numFmtId="0" fontId="45" fillId="3" borderId="0" xfId="0" applyFont="1" applyFill="1" applyBorder="1" applyAlignment="1">
      <alignment horizontal="left" vertical="center"/>
    </xf>
    <xf numFmtId="0" fontId="0" fillId="30" borderId="54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175" fontId="35" fillId="3" borderId="0" xfId="0" applyNumberFormat="1" applyFont="1" applyFill="1" applyAlignment="1">
      <alignment horizontal="center" vertical="center"/>
    </xf>
    <xf numFmtId="176" fontId="0" fillId="3" borderId="0" xfId="0" applyNumberFormat="1" applyFill="1"/>
    <xf numFmtId="0" fontId="79" fillId="0" borderId="0" xfId="0" applyFont="1"/>
    <xf numFmtId="0" fontId="0" fillId="30" borderId="0" xfId="0" applyFill="1"/>
    <xf numFmtId="165" fontId="0" fillId="30" borderId="0" xfId="0" applyNumberFormat="1" applyFill="1"/>
    <xf numFmtId="0" fontId="0" fillId="30" borderId="0" xfId="0" applyFill="1" applyAlignment="1">
      <alignment horizontal="right"/>
    </xf>
    <xf numFmtId="0" fontId="0" fillId="30" borderId="0" xfId="0" applyFill="1" applyAlignment="1">
      <alignment horizontal="left"/>
    </xf>
    <xf numFmtId="0" fontId="2" fillId="20" borderId="67" xfId="0" applyFont="1" applyFill="1" applyBorder="1"/>
    <xf numFmtId="0" fontId="0" fillId="50" borderId="0" xfId="0" applyFill="1"/>
    <xf numFmtId="0" fontId="80" fillId="0" borderId="0" xfId="0" applyFont="1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11" borderId="1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5" fillId="0" borderId="0" xfId="0" applyFont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41" fillId="27" borderId="12" xfId="0" applyFont="1" applyFill="1" applyBorder="1" applyAlignment="1">
      <alignment horizontal="center" vertical="center"/>
    </xf>
    <xf numFmtId="0" fontId="0" fillId="27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7" borderId="0" xfId="0" applyFont="1" applyFill="1" applyAlignment="1">
      <alignment vertical="center"/>
    </xf>
    <xf numFmtId="0" fontId="4" fillId="52" borderId="0" xfId="0" applyFont="1" applyFill="1" applyAlignment="1">
      <alignment vertical="center"/>
    </xf>
    <xf numFmtId="0" fontId="72" fillId="3" borderId="0" xfId="0" applyFont="1" applyFill="1" applyAlignment="1">
      <alignment horizontal="left" vertical="center"/>
    </xf>
    <xf numFmtId="0" fontId="81" fillId="3" borderId="0" xfId="0" applyFont="1" applyFill="1" applyAlignment="1">
      <alignment horizontal="left" vertical="center"/>
    </xf>
    <xf numFmtId="0" fontId="82" fillId="3" borderId="0" xfId="0" applyFont="1" applyFill="1" applyAlignment="1">
      <alignment horizontal="left" vertical="center"/>
    </xf>
    <xf numFmtId="2" fontId="0" fillId="3" borderId="24" xfId="0" applyNumberFormat="1" applyFill="1" applyBorder="1" applyAlignment="1">
      <alignment horizontal="center" vertical="center"/>
    </xf>
    <xf numFmtId="2" fontId="0" fillId="3" borderId="23" xfId="0" applyNumberFormat="1" applyFill="1" applyBorder="1" applyAlignment="1">
      <alignment horizontal="center" vertical="center"/>
    </xf>
    <xf numFmtId="2" fontId="0" fillId="3" borderId="16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2" fontId="0" fillId="30" borderId="16" xfId="0" applyNumberFormat="1" applyFill="1" applyBorder="1" applyAlignment="1">
      <alignment horizontal="center" vertical="center"/>
    </xf>
    <xf numFmtId="2" fontId="0" fillId="30" borderId="12" xfId="0" applyNumberFormat="1" applyFill="1" applyBorder="1" applyAlignment="1">
      <alignment horizontal="center" vertical="center"/>
    </xf>
    <xf numFmtId="2" fontId="0" fillId="50" borderId="16" xfId="0" applyNumberFormat="1" applyFill="1" applyBorder="1" applyAlignment="1">
      <alignment horizontal="center" vertical="center"/>
    </xf>
    <xf numFmtId="2" fontId="0" fillId="50" borderId="12" xfId="0" applyNumberFormat="1" applyFill="1" applyBorder="1" applyAlignment="1">
      <alignment horizontal="center" vertical="center"/>
    </xf>
    <xf numFmtId="2" fontId="0" fillId="3" borderId="17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9" fontId="45" fillId="3" borderId="0" xfId="2" applyFont="1" applyFill="1"/>
    <xf numFmtId="0" fontId="0" fillId="15" borderId="18" xfId="0" applyFill="1" applyBorder="1"/>
    <xf numFmtId="0" fontId="0" fillId="15" borderId="40" xfId="0" applyFill="1" applyBorder="1"/>
    <xf numFmtId="14" fontId="0" fillId="15" borderId="40" xfId="0" applyNumberFormat="1" applyFill="1" applyBorder="1" applyAlignment="1">
      <alignment horizontal="center" vertical="center"/>
    </xf>
    <xf numFmtId="1" fontId="0" fillId="15" borderId="11" xfId="0" applyNumberFormat="1" applyFill="1" applyBorder="1"/>
    <xf numFmtId="1" fontId="0" fillId="15" borderId="3" xfId="0" applyNumberFormat="1" applyFill="1" applyBorder="1"/>
    <xf numFmtId="1" fontId="0" fillId="15" borderId="12" xfId="0" applyNumberFormat="1" applyFill="1" applyBorder="1"/>
    <xf numFmtId="1" fontId="0" fillId="15" borderId="16" xfId="0" applyNumberFormat="1" applyFill="1" applyBorder="1"/>
    <xf numFmtId="1" fontId="0" fillId="15" borderId="18" xfId="0" applyNumberFormat="1" applyFill="1" applyBorder="1"/>
    <xf numFmtId="9" fontId="0" fillId="15" borderId="11" xfId="2" applyFont="1" applyFill="1" applyBorder="1" applyAlignment="1">
      <alignment horizontal="center" vertical="center"/>
    </xf>
    <xf numFmtId="9" fontId="0" fillId="15" borderId="12" xfId="2" applyFont="1" applyFill="1" applyBorder="1" applyAlignment="1">
      <alignment horizontal="center" vertical="center"/>
    </xf>
    <xf numFmtId="1" fontId="0" fillId="15" borderId="11" xfId="2" applyNumberFormat="1" applyFont="1" applyFill="1" applyBorder="1" applyAlignment="1">
      <alignment horizontal="center" vertical="center"/>
    </xf>
    <xf numFmtId="1" fontId="0" fillId="15" borderId="12" xfId="2" applyNumberFormat="1" applyFont="1" applyFill="1" applyBorder="1" applyAlignment="1">
      <alignment horizontal="center" vertical="center"/>
    </xf>
    <xf numFmtId="1" fontId="0" fillId="15" borderId="11" xfId="0" applyNumberFormat="1" applyFill="1" applyBorder="1" applyAlignment="1">
      <alignment horizontal="center" vertical="center"/>
    </xf>
    <xf numFmtId="1" fontId="0" fillId="15" borderId="12" xfId="0" applyNumberFormat="1" applyFill="1" applyBorder="1" applyAlignment="1">
      <alignment horizontal="center" vertical="center"/>
    </xf>
    <xf numFmtId="2" fontId="0" fillId="15" borderId="16" xfId="0" applyNumberFormat="1" applyFill="1" applyBorder="1" applyAlignment="1">
      <alignment horizontal="center" vertical="center"/>
    </xf>
    <xf numFmtId="2" fontId="0" fillId="15" borderId="12" xfId="0" applyNumberFormat="1" applyFill="1" applyBorder="1" applyAlignment="1">
      <alignment horizontal="center" vertical="center"/>
    </xf>
    <xf numFmtId="9" fontId="77" fillId="3" borderId="0" xfId="2" applyFont="1" applyFill="1"/>
    <xf numFmtId="44" fontId="83" fillId="4" borderId="32" xfId="1" applyFont="1" applyFill="1" applyBorder="1" applyAlignment="1">
      <alignment horizontal="center" vertical="center"/>
    </xf>
    <xf numFmtId="44" fontId="83" fillId="4" borderId="110" xfId="1" applyFont="1" applyFill="1" applyBorder="1" applyAlignment="1">
      <alignment horizontal="center" vertical="center"/>
    </xf>
    <xf numFmtId="9" fontId="83" fillId="50" borderId="111" xfId="0" applyNumberFormat="1" applyFont="1" applyFill="1" applyBorder="1" applyAlignment="1">
      <alignment horizontal="center" vertical="center"/>
    </xf>
    <xf numFmtId="0" fontId="83" fillId="3" borderId="111" xfId="0" applyFont="1" applyFill="1" applyBorder="1" applyAlignment="1">
      <alignment horizontal="center" vertical="center"/>
    </xf>
    <xf numFmtId="168" fontId="83" fillId="3" borderId="112" xfId="0" applyNumberFormat="1" applyFont="1" applyFill="1" applyBorder="1" applyAlignment="1">
      <alignment horizontal="center" vertical="center"/>
    </xf>
    <xf numFmtId="0" fontId="83" fillId="3" borderId="63" xfId="0" applyFont="1" applyFill="1" applyBorder="1" applyAlignment="1">
      <alignment horizontal="center" vertical="center"/>
    </xf>
    <xf numFmtId="168" fontId="83" fillId="3" borderId="21" xfId="0" applyNumberFormat="1" applyFont="1" applyFill="1" applyBorder="1" applyAlignment="1">
      <alignment horizontal="center" vertical="center"/>
    </xf>
    <xf numFmtId="0" fontId="83" fillId="3" borderId="20" xfId="0" applyFont="1" applyFill="1" applyBorder="1" applyAlignment="1">
      <alignment horizontal="left"/>
    </xf>
    <xf numFmtId="168" fontId="83" fillId="3" borderId="52" xfId="0" applyNumberFormat="1" applyFont="1" applyFill="1" applyBorder="1" applyAlignment="1">
      <alignment horizontal="center" vertical="center"/>
    </xf>
    <xf numFmtId="168" fontId="37" fillId="3" borderId="35" xfId="0" applyNumberFormat="1" applyFont="1" applyFill="1" applyBorder="1" applyAlignment="1">
      <alignment horizontal="center" vertical="center"/>
    </xf>
    <xf numFmtId="168" fontId="37" fillId="3" borderId="12" xfId="0" applyNumberFormat="1" applyFont="1" applyFill="1" applyBorder="1" applyAlignment="1">
      <alignment horizontal="center" vertical="center"/>
    </xf>
    <xf numFmtId="168" fontId="37" fillId="3" borderId="15" xfId="0" applyNumberFormat="1" applyFont="1" applyFill="1" applyBorder="1" applyAlignment="1">
      <alignment horizontal="center" vertical="center"/>
    </xf>
    <xf numFmtId="169" fontId="37" fillId="3" borderId="135" xfId="0" applyNumberFormat="1" applyFont="1" applyFill="1" applyBorder="1" applyAlignment="1">
      <alignment horizontal="center" vertical="center"/>
    </xf>
    <xf numFmtId="169" fontId="37" fillId="3" borderId="113" xfId="0" applyNumberFormat="1" applyFont="1" applyFill="1" applyBorder="1" applyAlignment="1">
      <alignment horizontal="center" vertical="center"/>
    </xf>
    <xf numFmtId="169" fontId="37" fillId="3" borderId="136" xfId="0" applyNumberFormat="1" applyFon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9" fontId="0" fillId="3" borderId="3" xfId="0" applyNumberFormat="1" applyFont="1" applyFill="1" applyBorder="1" applyAlignment="1">
      <alignment horizontal="center" vertical="center"/>
    </xf>
    <xf numFmtId="9" fontId="0" fillId="3" borderId="25" xfId="0" applyNumberFormat="1" applyFill="1" applyBorder="1" applyAlignment="1">
      <alignment horizontal="center" vertical="center"/>
    </xf>
    <xf numFmtId="0" fontId="3" fillId="15" borderId="27" xfId="0" applyFont="1" applyFill="1" applyBorder="1" applyAlignment="1">
      <alignment horizontal="center" vertical="center"/>
    </xf>
    <xf numFmtId="0" fontId="3" fillId="15" borderId="30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9" fontId="0" fillId="3" borderId="23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9" fontId="0" fillId="3" borderId="12" xfId="0" applyNumberFormat="1" applyFill="1" applyBorder="1" applyAlignment="1">
      <alignment horizontal="center" vertical="center"/>
    </xf>
    <xf numFmtId="9" fontId="0" fillId="3" borderId="12" xfId="0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9" fontId="0" fillId="3" borderId="14" xfId="0" applyNumberFormat="1" applyFill="1" applyBorder="1" applyAlignment="1">
      <alignment horizontal="center" vertical="center"/>
    </xf>
    <xf numFmtId="9" fontId="0" fillId="3" borderId="15" xfId="0" applyNumberFormat="1" applyFill="1" applyBorder="1" applyAlignment="1">
      <alignment horizontal="center" vertical="center"/>
    </xf>
    <xf numFmtId="0" fontId="60" fillId="41" borderId="0" xfId="0" applyFont="1" applyFill="1" applyAlignment="1">
      <alignment horizontal="center"/>
    </xf>
    <xf numFmtId="0" fontId="7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9" fillId="2" borderId="35" xfId="0" applyFont="1" applyFill="1" applyBorder="1" applyAlignment="1">
      <alignment horizontal="center" vertical="center"/>
    </xf>
    <xf numFmtId="14" fontId="35" fillId="53" borderId="11" xfId="0" applyNumberFormat="1" applyFont="1" applyFill="1" applyBorder="1" applyAlignment="1">
      <alignment horizontal="center" vertical="center"/>
    </xf>
    <xf numFmtId="0" fontId="35" fillId="53" borderId="3" xfId="0" applyFont="1" applyFill="1" applyBorder="1" applyAlignment="1">
      <alignment horizontal="center" vertical="center"/>
    </xf>
    <xf numFmtId="0" fontId="35" fillId="53" borderId="18" xfId="0" applyFont="1" applyFill="1" applyBorder="1" applyAlignment="1">
      <alignment horizontal="center" vertical="center"/>
    </xf>
    <xf numFmtId="0" fontId="35" fillId="53" borderId="11" xfId="0" applyFont="1" applyFill="1" applyBorder="1" applyAlignment="1">
      <alignment horizontal="center" vertical="center"/>
    </xf>
    <xf numFmtId="0" fontId="35" fillId="53" borderId="12" xfId="0" applyFont="1" applyFill="1" applyBorder="1" applyAlignment="1">
      <alignment horizontal="center" vertical="center"/>
    </xf>
    <xf numFmtId="2" fontId="35" fillId="53" borderId="3" xfId="0" applyNumberFormat="1" applyFont="1" applyFill="1" applyBorder="1" applyAlignment="1">
      <alignment horizontal="center" vertical="center"/>
    </xf>
    <xf numFmtId="2" fontId="35" fillId="53" borderId="3" xfId="9" applyNumberFormat="1" applyFont="1" applyFill="1" applyBorder="1" applyAlignment="1">
      <alignment horizontal="center" vertical="center"/>
    </xf>
    <xf numFmtId="168" fontId="37" fillId="53" borderId="12" xfId="0" applyNumberFormat="1" applyFont="1" applyFill="1" applyBorder="1" applyAlignment="1">
      <alignment horizontal="center" vertical="center"/>
    </xf>
    <xf numFmtId="165" fontId="35" fillId="53" borderId="11" xfId="0" applyNumberFormat="1" applyFont="1" applyFill="1" applyBorder="1" applyAlignment="1">
      <alignment horizontal="center" vertical="center"/>
    </xf>
    <xf numFmtId="170" fontId="35" fillId="53" borderId="11" xfId="0" applyNumberFormat="1" applyFont="1" applyFill="1" applyBorder="1" applyAlignment="1">
      <alignment horizontal="center" vertical="center"/>
    </xf>
    <xf numFmtId="170" fontId="35" fillId="53" borderId="3" xfId="0" applyNumberFormat="1" applyFont="1" applyFill="1" applyBorder="1" applyAlignment="1">
      <alignment horizontal="center" vertical="center"/>
    </xf>
    <xf numFmtId="164" fontId="35" fillId="53" borderId="3" xfId="0" applyNumberFormat="1" applyFont="1" applyFill="1" applyBorder="1" applyAlignment="1">
      <alignment horizontal="center" vertical="center"/>
    </xf>
    <xf numFmtId="1" fontId="35" fillId="53" borderId="11" xfId="0" applyNumberFormat="1" applyFont="1" applyFill="1" applyBorder="1" applyAlignment="1">
      <alignment horizontal="center" vertical="center"/>
    </xf>
    <xf numFmtId="169" fontId="37" fillId="53" borderId="113" xfId="0" applyNumberFormat="1" applyFont="1" applyFill="1" applyBorder="1" applyAlignment="1">
      <alignment horizontal="center" vertical="center"/>
    </xf>
    <xf numFmtId="0" fontId="35" fillId="53" borderId="18" xfId="0" applyFont="1" applyFill="1" applyBorder="1" applyAlignment="1">
      <alignment horizontal="center" vertical="center" wrapText="1"/>
    </xf>
    <xf numFmtId="44" fontId="83" fillId="4" borderId="110" xfId="1" applyNumberFormat="1" applyFont="1" applyFill="1" applyBorder="1" applyAlignment="1">
      <alignment horizontal="center" vertical="center"/>
    </xf>
    <xf numFmtId="170" fontId="0" fillId="3" borderId="72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96" xfId="0" applyNumberFormat="1" applyFill="1" applyBorder="1" applyAlignment="1">
      <alignment horizontal="center"/>
    </xf>
    <xf numFmtId="164" fontId="0" fillId="3" borderId="0" xfId="0" applyNumberFormat="1" applyFill="1"/>
    <xf numFmtId="0" fontId="0" fillId="3" borderId="139" xfId="0" applyFill="1" applyBorder="1" applyAlignment="1">
      <alignment horizontal="center"/>
    </xf>
    <xf numFmtId="0" fontId="0" fillId="3" borderId="140" xfId="0" applyFill="1" applyBorder="1" applyAlignment="1">
      <alignment horizontal="center"/>
    </xf>
    <xf numFmtId="164" fontId="35" fillId="3" borderId="140" xfId="0" applyNumberFormat="1" applyFont="1" applyFill="1" applyBorder="1" applyAlignment="1">
      <alignment horizontal="center"/>
    </xf>
    <xf numFmtId="170" fontId="0" fillId="3" borderId="140" xfId="0" applyNumberFormat="1" applyFill="1" applyBorder="1" applyAlignment="1">
      <alignment horizontal="center"/>
    </xf>
    <xf numFmtId="2" fontId="0" fillId="3" borderId="140" xfId="0" applyNumberFormat="1" applyFill="1" applyBorder="1" applyAlignment="1">
      <alignment horizontal="center"/>
    </xf>
    <xf numFmtId="2" fontId="0" fillId="3" borderId="67" xfId="0" applyNumberFormat="1" applyFill="1" applyBorder="1" applyAlignment="1">
      <alignment horizontal="center"/>
    </xf>
    <xf numFmtId="2" fontId="0" fillId="3" borderId="108" xfId="0" applyNumberFormat="1" applyFill="1" applyBorder="1" applyAlignment="1">
      <alignment horizontal="center"/>
    </xf>
    <xf numFmtId="2" fontId="0" fillId="3" borderId="142" xfId="0" applyNumberFormat="1" applyFill="1" applyBorder="1" applyAlignment="1">
      <alignment horizontal="center"/>
    </xf>
    <xf numFmtId="170" fontId="0" fillId="3" borderId="95" xfId="0" applyNumberFormat="1" applyFill="1" applyBorder="1" applyAlignment="1">
      <alignment horizontal="center"/>
    </xf>
    <xf numFmtId="0" fontId="61" fillId="0" borderId="0" xfId="0" applyFont="1"/>
    <xf numFmtId="164" fontId="59" fillId="0" borderId="0" xfId="0" applyNumberFormat="1" applyFont="1"/>
    <xf numFmtId="169" fontId="60" fillId="0" borderId="0" xfId="9" applyNumberFormat="1" applyFont="1" applyFill="1" applyBorder="1" applyAlignment="1"/>
    <xf numFmtId="169" fontId="60" fillId="0" borderId="0" xfId="0" applyNumberFormat="1" applyFont="1"/>
    <xf numFmtId="9" fontId="60" fillId="0" borderId="0" xfId="2" applyFont="1" applyFill="1" applyBorder="1"/>
    <xf numFmtId="169" fontId="60" fillId="0" borderId="0" xfId="2" applyNumberFormat="1" applyFont="1" applyFill="1" applyBorder="1"/>
    <xf numFmtId="171" fontId="0" fillId="0" borderId="0" xfId="0" applyNumberFormat="1"/>
    <xf numFmtId="168" fontId="0" fillId="0" borderId="0" xfId="0" applyNumberFormat="1"/>
    <xf numFmtId="172" fontId="0" fillId="30" borderId="0" xfId="0" applyNumberFormat="1" applyFill="1"/>
    <xf numFmtId="165" fontId="41" fillId="30" borderId="0" xfId="0" applyNumberFormat="1" applyFont="1" applyFill="1"/>
    <xf numFmtId="9" fontId="84" fillId="10" borderId="54" xfId="2" applyFont="1" applyFill="1" applyBorder="1" applyAlignment="1">
      <alignment horizontal="center"/>
    </xf>
    <xf numFmtId="169" fontId="52" fillId="0" borderId="93" xfId="0" applyNumberFormat="1" applyFont="1" applyFill="1" applyBorder="1" applyAlignment="1">
      <alignment horizontal="center"/>
    </xf>
    <xf numFmtId="0" fontId="51" fillId="47" borderId="1" xfId="0" applyFont="1" applyFill="1" applyBorder="1" applyAlignment="1">
      <alignment horizontal="right" wrapText="1"/>
    </xf>
    <xf numFmtId="0" fontId="0" fillId="54" borderId="0" xfId="0" applyFill="1"/>
    <xf numFmtId="169" fontId="0" fillId="0" borderId="0" xfId="2" applyNumberFormat="1" applyFont="1"/>
    <xf numFmtId="0" fontId="51" fillId="47" borderId="72" xfId="0" applyFont="1" applyFill="1" applyBorder="1" applyAlignment="1">
      <alignment horizontal="right" wrapText="1"/>
    </xf>
    <xf numFmtId="0" fontId="51" fillId="11" borderId="72" xfId="0" applyFont="1" applyFill="1" applyBorder="1" applyAlignment="1">
      <alignment horizontal="right" wrapText="1"/>
    </xf>
    <xf numFmtId="0" fontId="0" fillId="50" borderId="54" xfId="0" applyFill="1" applyBorder="1" applyAlignment="1">
      <alignment horizontal="center"/>
    </xf>
    <xf numFmtId="170" fontId="60" fillId="41" borderId="1" xfId="0" applyNumberFormat="1" applyFont="1" applyFill="1" applyBorder="1" applyAlignment="1">
      <alignment horizontal="center" vertical="center" wrapText="1"/>
    </xf>
    <xf numFmtId="169" fontId="62" fillId="0" borderId="1" xfId="0" applyNumberFormat="1" applyFont="1" applyBorder="1" applyAlignment="1">
      <alignment horizontal="center" vertical="center"/>
    </xf>
    <xf numFmtId="9" fontId="59" fillId="0" borderId="1" xfId="2" applyFont="1" applyBorder="1" applyAlignment="1">
      <alignment horizontal="center" vertical="center"/>
    </xf>
    <xf numFmtId="169" fontId="59" fillId="0" borderId="1" xfId="2" applyNumberFormat="1" applyFont="1" applyBorder="1" applyAlignment="1">
      <alignment horizontal="center" vertical="center"/>
    </xf>
    <xf numFmtId="169" fontId="59" fillId="0" borderId="1" xfId="0" applyNumberFormat="1" applyFont="1" applyBorder="1" applyAlignment="1">
      <alignment horizontal="center" vertical="center"/>
    </xf>
    <xf numFmtId="169" fontId="60" fillId="41" borderId="1" xfId="0" applyNumberFormat="1" applyFont="1" applyFill="1" applyBorder="1" applyAlignment="1">
      <alignment horizontal="center" vertical="center"/>
    </xf>
    <xf numFmtId="9" fontId="60" fillId="41" borderId="1" xfId="2" applyFont="1" applyFill="1" applyBorder="1" applyAlignment="1">
      <alignment horizontal="center" vertical="center"/>
    </xf>
    <xf numFmtId="169" fontId="60" fillId="41" borderId="1" xfId="2" applyNumberFormat="1" applyFont="1" applyFill="1" applyBorder="1" applyAlignment="1">
      <alignment horizontal="center" vertical="center"/>
    </xf>
    <xf numFmtId="0" fontId="0" fillId="50" borderId="1" xfId="0" applyFill="1" applyBorder="1" applyAlignment="1">
      <alignment horizontal="center"/>
    </xf>
    <xf numFmtId="10" fontId="35" fillId="3" borderId="0" xfId="2" applyNumberFormat="1" applyFont="1" applyFill="1" applyAlignment="1">
      <alignment horizontal="center" vertical="center"/>
    </xf>
    <xf numFmtId="9" fontId="35" fillId="3" borderId="0" xfId="2" applyFont="1" applyFill="1" applyAlignment="1">
      <alignment horizontal="center" vertical="center"/>
    </xf>
    <xf numFmtId="10" fontId="35" fillId="53" borderId="0" xfId="2" applyNumberFormat="1" applyFont="1" applyFill="1" applyAlignment="1">
      <alignment horizontal="center" vertical="center"/>
    </xf>
    <xf numFmtId="9" fontId="35" fillId="53" borderId="0" xfId="2" applyFont="1" applyFill="1" applyAlignment="1">
      <alignment horizontal="center" vertical="center"/>
    </xf>
    <xf numFmtId="171" fontId="35" fillId="53" borderId="0" xfId="2" applyNumberFormat="1" applyFont="1" applyFill="1" applyAlignment="1">
      <alignment horizontal="center" vertical="center"/>
    </xf>
    <xf numFmtId="171" fontId="35" fillId="3" borderId="0" xfId="2" applyNumberFormat="1" applyFont="1" applyFill="1" applyAlignment="1">
      <alignment horizontal="center" vertical="center"/>
    </xf>
    <xf numFmtId="169" fontId="35" fillId="3" borderId="33" xfId="0" applyNumberFormat="1" applyFont="1" applyFill="1" applyBorder="1" applyAlignment="1">
      <alignment horizontal="center" vertical="center"/>
    </xf>
    <xf numFmtId="169" fontId="35" fillId="53" borderId="11" xfId="0" applyNumberFormat="1" applyFont="1" applyFill="1" applyBorder="1" applyAlignment="1">
      <alignment horizontal="center" vertical="center"/>
    </xf>
    <xf numFmtId="169" fontId="35" fillId="3" borderId="11" xfId="0" applyNumberFormat="1" applyFont="1" applyFill="1" applyBorder="1" applyAlignment="1">
      <alignment horizontal="center" vertical="center"/>
    </xf>
    <xf numFmtId="169" fontId="35" fillId="3" borderId="13" xfId="0" applyNumberFormat="1" applyFont="1" applyFill="1" applyBorder="1" applyAlignment="1">
      <alignment horizontal="center" vertical="center"/>
    </xf>
    <xf numFmtId="0" fontId="61" fillId="0" borderId="0" xfId="0" applyFont="1" applyBorder="1"/>
    <xf numFmtId="164" fontId="59" fillId="0" borderId="0" xfId="0" applyNumberFormat="1" applyFont="1" applyBorder="1"/>
    <xf numFmtId="169" fontId="60" fillId="3" borderId="0" xfId="9" applyNumberFormat="1" applyFont="1" applyFill="1" applyBorder="1" applyAlignment="1"/>
    <xf numFmtId="169" fontId="0" fillId="3" borderId="0" xfId="0" applyNumberFormat="1" applyFill="1"/>
    <xf numFmtId="0" fontId="0" fillId="0" borderId="145" xfId="0" applyBorder="1"/>
    <xf numFmtId="0" fontId="0" fillId="3" borderId="0" xfId="0" quotePrefix="1" applyFill="1" applyAlignment="1">
      <alignment wrapText="1"/>
    </xf>
    <xf numFmtId="0" fontId="52" fillId="3" borderId="0" xfId="0" applyFont="1" applyFill="1"/>
    <xf numFmtId="9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169" fontId="65" fillId="0" borderId="1" xfId="1" applyNumberFormat="1" applyFont="1" applyFill="1" applyBorder="1" applyAlignment="1">
      <alignment horizontal="center"/>
    </xf>
    <xf numFmtId="1" fontId="0" fillId="3" borderId="140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96" xfId="0" applyNumberFormat="1" applyFill="1" applyBorder="1" applyAlignment="1">
      <alignment horizontal="center"/>
    </xf>
    <xf numFmtId="1" fontId="35" fillId="3" borderId="0" xfId="0" applyNumberFormat="1" applyFont="1" applyFill="1"/>
    <xf numFmtId="1" fontId="0" fillId="3" borderId="143" xfId="0" applyNumberFormat="1" applyFill="1" applyBorder="1" applyAlignment="1">
      <alignment horizontal="center"/>
    </xf>
    <xf numFmtId="1" fontId="0" fillId="3" borderId="55" xfId="0" applyNumberFormat="1" applyFill="1" applyBorder="1" applyAlignment="1">
      <alignment horizontal="center"/>
    </xf>
    <xf numFmtId="1" fontId="0" fillId="3" borderId="109" xfId="0" applyNumberFormat="1" applyFill="1" applyBorder="1" applyAlignment="1">
      <alignment horizontal="center"/>
    </xf>
    <xf numFmtId="0" fontId="85" fillId="19" borderId="141" xfId="0" applyFont="1" applyFill="1" applyBorder="1" applyAlignment="1">
      <alignment horizontal="center" vertical="center" wrapText="1"/>
    </xf>
    <xf numFmtId="0" fontId="85" fillId="19" borderId="51" xfId="0" applyFont="1" applyFill="1" applyBorder="1" applyAlignment="1">
      <alignment horizontal="center" vertical="center" wrapText="1"/>
    </xf>
    <xf numFmtId="169" fontId="60" fillId="43" borderId="67" xfId="9" applyNumberFormat="1" applyFont="1" applyFill="1" applyBorder="1" applyAlignment="1"/>
    <xf numFmtId="169" fontId="0" fillId="30" borderId="10" xfId="0" applyNumberFormat="1" applyFill="1" applyBorder="1"/>
    <xf numFmtId="169" fontId="0" fillId="3" borderId="10" xfId="0" applyNumberFormat="1" applyFill="1" applyBorder="1"/>
    <xf numFmtId="169" fontId="0" fillId="3" borderId="72" xfId="0" applyNumberFormat="1" applyFill="1" applyBorder="1"/>
    <xf numFmtId="169" fontId="0" fillId="30" borderId="7" xfId="2" applyNumberFormat="1" applyFont="1" applyFill="1" applyBorder="1"/>
    <xf numFmtId="0" fontId="0" fillId="3" borderId="7" xfId="0" applyFill="1" applyBorder="1"/>
    <xf numFmtId="169" fontId="0" fillId="3" borderId="7" xfId="2" applyNumberFormat="1" applyFont="1" applyFill="1" applyBorder="1"/>
    <xf numFmtId="169" fontId="0" fillId="3" borderId="144" xfId="0" applyNumberFormat="1" applyFill="1" applyBorder="1"/>
    <xf numFmtId="169" fontId="0" fillId="3" borderId="7" xfId="0" applyNumberFormat="1" applyFill="1" applyBorder="1"/>
    <xf numFmtId="0" fontId="0" fillId="44" borderId="56" xfId="0" quotePrefix="1" applyFill="1" applyBorder="1" applyAlignment="1">
      <alignment horizontal="right" wrapText="1"/>
    </xf>
    <xf numFmtId="0" fontId="0" fillId="30" borderId="1" xfId="0" applyFill="1" applyBorder="1" applyAlignment="1">
      <alignment horizontal="right" wrapText="1"/>
    </xf>
    <xf numFmtId="0" fontId="0" fillId="30" borderId="56" xfId="0" quotePrefix="1" applyFill="1" applyBorder="1" applyAlignment="1">
      <alignment horizontal="right" wrapText="1"/>
    </xf>
    <xf numFmtId="169" fontId="0" fillId="44" borderId="7" xfId="0" applyNumberFormat="1" applyFill="1" applyBorder="1"/>
    <xf numFmtId="168" fontId="0" fillId="27" borderId="0" xfId="0" applyNumberFormat="1" applyFill="1"/>
    <xf numFmtId="0" fontId="0" fillId="0" borderId="0" xfId="0" quotePrefix="1"/>
    <xf numFmtId="170" fontId="60" fillId="43" borderId="67" xfId="0" applyNumberFormat="1" applyFont="1" applyFill="1" applyBorder="1" applyAlignment="1">
      <alignment horizontal="right" wrapText="1"/>
    </xf>
    <xf numFmtId="0" fontId="0" fillId="44" borderId="0" xfId="0" quotePrefix="1" applyFill="1" applyBorder="1" applyAlignment="1">
      <alignment horizontal="right" wrapText="1"/>
    </xf>
    <xf numFmtId="169" fontId="0" fillId="44" borderId="0" xfId="0" applyNumberFormat="1" applyFill="1" applyBorder="1"/>
    <xf numFmtId="169" fontId="0" fillId="3" borderId="0" xfId="0" applyNumberFormat="1" applyFill="1" applyBorder="1"/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 vertical="center" wrapText="1"/>
    </xf>
    <xf numFmtId="0" fontId="2" fillId="22" borderId="5" xfId="0" applyFont="1" applyFill="1" applyBorder="1" applyAlignment="1">
      <alignment horizontal="center" vertical="center"/>
    </xf>
    <xf numFmtId="0" fontId="2" fillId="2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2" fillId="0" borderId="6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4" xfId="0" applyFont="1" applyBorder="1" applyAlignment="1">
      <alignment horizontal="left" vertical="top" wrapText="1"/>
    </xf>
    <xf numFmtId="0" fontId="2" fillId="0" borderId="66" xfId="0" applyFont="1" applyBorder="1" applyAlignment="1">
      <alignment horizontal="left" vertical="top" wrapText="1"/>
    </xf>
    <xf numFmtId="0" fontId="2" fillId="0" borderId="49" xfId="0" applyFont="1" applyBorder="1" applyAlignment="1">
      <alignment horizontal="left" vertical="top" wrapText="1"/>
    </xf>
    <xf numFmtId="0" fontId="2" fillId="0" borderId="4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0" fillId="11" borderId="9" xfId="0" applyFont="1" applyFill="1" applyBorder="1" applyAlignment="1">
      <alignment horizontal="center" vertical="center" wrapText="1"/>
    </xf>
    <xf numFmtId="0" fontId="50" fillId="11" borderId="20" xfId="0" applyFont="1" applyFill="1" applyBorder="1" applyAlignment="1">
      <alignment horizontal="center" vertical="center" wrapText="1"/>
    </xf>
    <xf numFmtId="0" fontId="50" fillId="11" borderId="21" xfId="0" applyFont="1" applyFill="1" applyBorder="1" applyAlignment="1">
      <alignment horizontal="center" vertical="center" wrapText="1"/>
    </xf>
    <xf numFmtId="0" fontId="4" fillId="0" borderId="65" xfId="0" applyFont="1" applyBorder="1" applyAlignment="1">
      <alignment horizontal="left" vertical="center"/>
    </xf>
    <xf numFmtId="0" fontId="2" fillId="11" borderId="68" xfId="0" applyFont="1" applyFill="1" applyBorder="1" applyAlignment="1">
      <alignment horizontal="center" vertical="center"/>
    </xf>
    <xf numFmtId="0" fontId="2" fillId="11" borderId="69" xfId="0" applyFont="1" applyFill="1" applyBorder="1" applyAlignment="1">
      <alignment horizontal="center" vertical="center"/>
    </xf>
    <xf numFmtId="0" fontId="2" fillId="11" borderId="70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2" fillId="22" borderId="9" xfId="0" applyFont="1" applyFill="1" applyBorder="1" applyAlignment="1">
      <alignment horizontal="center" vertical="center" wrapText="1"/>
    </xf>
    <xf numFmtId="0" fontId="2" fillId="22" borderId="20" xfId="0" applyFont="1" applyFill="1" applyBorder="1" applyAlignment="1">
      <alignment horizontal="center" vertical="center"/>
    </xf>
    <xf numFmtId="0" fontId="2" fillId="22" borderId="2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8" borderId="2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5" fillId="41" borderId="135" xfId="0" applyFont="1" applyFill="1" applyBorder="1" applyAlignment="1">
      <alignment horizontal="center" vertical="center" wrapText="1"/>
    </xf>
    <xf numFmtId="0" fontId="35" fillId="41" borderId="113" xfId="0" applyFont="1" applyFill="1" applyBorder="1" applyAlignment="1">
      <alignment horizontal="center" vertical="center" wrapText="1"/>
    </xf>
    <xf numFmtId="0" fontId="35" fillId="41" borderId="116" xfId="0" applyFont="1" applyFill="1" applyBorder="1" applyAlignment="1">
      <alignment horizontal="center" vertical="center" wrapText="1"/>
    </xf>
    <xf numFmtId="0" fontId="29" fillId="40" borderId="114" xfId="0" applyFont="1" applyFill="1" applyBorder="1" applyAlignment="1">
      <alignment horizontal="center" vertical="center"/>
    </xf>
    <xf numFmtId="0" fontId="29" fillId="40" borderId="134" xfId="0" applyFont="1" applyFill="1" applyBorder="1" applyAlignment="1">
      <alignment horizontal="center" vertical="center"/>
    </xf>
    <xf numFmtId="0" fontId="29" fillId="40" borderId="114" xfId="0" applyFont="1" applyFill="1" applyBorder="1" applyAlignment="1">
      <alignment horizontal="center" vertical="center" wrapText="1"/>
    </xf>
    <xf numFmtId="0" fontId="29" fillId="40" borderId="115" xfId="0" applyFont="1" applyFill="1" applyBorder="1" applyAlignment="1">
      <alignment horizontal="center" vertical="center" wrapText="1"/>
    </xf>
    <xf numFmtId="0" fontId="29" fillId="40" borderId="134" xfId="0" applyFont="1" applyFill="1" applyBorder="1" applyAlignment="1">
      <alignment horizontal="center" vertical="center" wrapText="1"/>
    </xf>
    <xf numFmtId="0" fontId="29" fillId="40" borderId="34" xfId="0" applyFont="1" applyFill="1" applyBorder="1" applyAlignment="1">
      <alignment horizontal="center" vertical="center" wrapText="1"/>
    </xf>
    <xf numFmtId="0" fontId="29" fillId="40" borderId="35" xfId="0" applyFont="1" applyFill="1" applyBorder="1" applyAlignment="1">
      <alignment horizontal="center" vertical="center" wrapText="1"/>
    </xf>
    <xf numFmtId="0" fontId="29" fillId="40" borderId="33" xfId="0" applyFont="1" applyFill="1" applyBorder="1" applyAlignment="1">
      <alignment horizontal="center" vertical="center" wrapText="1"/>
    </xf>
    <xf numFmtId="0" fontId="29" fillId="40" borderId="30" xfId="0" applyFont="1" applyFill="1" applyBorder="1" applyAlignment="1">
      <alignment horizontal="center" vertical="center"/>
    </xf>
    <xf numFmtId="0" fontId="29" fillId="40" borderId="28" xfId="0" applyFont="1" applyFill="1" applyBorder="1" applyAlignment="1">
      <alignment horizontal="center" vertical="center"/>
    </xf>
    <xf numFmtId="0" fontId="29" fillId="40" borderId="43" xfId="0" applyFont="1" applyFill="1" applyBorder="1" applyAlignment="1">
      <alignment horizontal="center" vertical="center"/>
    </xf>
    <xf numFmtId="0" fontId="29" fillId="40" borderId="44" xfId="0" applyFont="1" applyFill="1" applyBorder="1" applyAlignment="1">
      <alignment horizontal="center" vertical="center"/>
    </xf>
    <xf numFmtId="0" fontId="37" fillId="42" borderId="114" xfId="0" applyFont="1" applyFill="1" applyBorder="1" applyAlignment="1">
      <alignment horizontal="center" vertical="center" wrapText="1"/>
    </xf>
    <xf numFmtId="0" fontId="37" fillId="42" borderId="115" xfId="0" applyFont="1" applyFill="1" applyBorder="1" applyAlignment="1">
      <alignment horizontal="center" vertical="center" wrapText="1"/>
    </xf>
    <xf numFmtId="0" fontId="37" fillId="3" borderId="4" xfId="0" applyFont="1" applyFill="1" applyBorder="1" applyAlignment="1">
      <alignment horizontal="center" vertical="center"/>
    </xf>
    <xf numFmtId="0" fontId="37" fillId="3" borderId="6" xfId="0" applyFont="1" applyFill="1" applyBorder="1" applyAlignment="1">
      <alignment horizontal="center" vertical="center"/>
    </xf>
    <xf numFmtId="0" fontId="37" fillId="3" borderId="65" xfId="0" applyFont="1" applyFill="1" applyBorder="1" applyAlignment="1">
      <alignment horizontal="center" vertical="center"/>
    </xf>
    <xf numFmtId="0" fontId="37" fillId="3" borderId="0" xfId="0" applyFont="1" applyFill="1" applyBorder="1" applyAlignment="1">
      <alignment horizontal="center" vertical="center"/>
    </xf>
    <xf numFmtId="0" fontId="29" fillId="43" borderId="67" xfId="0" applyFont="1" applyFill="1" applyBorder="1" applyAlignment="1">
      <alignment horizontal="center"/>
    </xf>
    <xf numFmtId="0" fontId="29" fillId="43" borderId="57" xfId="0" applyFont="1" applyFill="1" applyBorder="1" applyAlignment="1">
      <alignment horizontal="center"/>
    </xf>
    <xf numFmtId="0" fontId="29" fillId="43" borderId="56" xfId="0" applyFont="1" applyFill="1" applyBorder="1" applyAlignment="1">
      <alignment horizontal="center"/>
    </xf>
    <xf numFmtId="0" fontId="60" fillId="41" borderId="117" xfId="0" applyFont="1" applyFill="1" applyBorder="1" applyAlignment="1">
      <alignment horizontal="center"/>
    </xf>
    <xf numFmtId="0" fontId="60" fillId="41" borderId="0" xfId="0" applyFont="1" applyFill="1" applyAlignment="1">
      <alignment horizontal="center"/>
    </xf>
    <xf numFmtId="0" fontId="0" fillId="46" borderId="0" xfId="0" applyFill="1" applyAlignment="1">
      <alignment horizontal="center"/>
    </xf>
    <xf numFmtId="172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72" fontId="0" fillId="44" borderId="0" xfId="0" applyNumberFormat="1" applyFill="1" applyAlignment="1">
      <alignment horizontal="center"/>
    </xf>
    <xf numFmtId="0" fontId="37" fillId="44" borderId="93" xfId="0" applyFont="1" applyFill="1" applyBorder="1" applyAlignment="1">
      <alignment horizontal="center"/>
    </xf>
    <xf numFmtId="0" fontId="37" fillId="44" borderId="144" xfId="0" applyFont="1" applyFill="1" applyBorder="1" applyAlignment="1">
      <alignment horizontal="center"/>
    </xf>
    <xf numFmtId="169" fontId="0" fillId="0" borderId="0" xfId="0" applyNumberFormat="1" applyAlignment="1">
      <alignment horizontal="right" vertical="center"/>
    </xf>
    <xf numFmtId="0" fontId="65" fillId="0" borderId="122" xfId="0" applyFont="1" applyBorder="1" applyAlignment="1">
      <alignment horizontal="center" vertical="center" wrapText="1"/>
    </xf>
    <xf numFmtId="0" fontId="65" fillId="0" borderId="123" xfId="0" applyFont="1" applyBorder="1" applyAlignment="1">
      <alignment horizontal="center" vertical="center" wrapText="1"/>
    </xf>
    <xf numFmtId="0" fontId="65" fillId="0" borderId="124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5" fillId="0" borderId="119" xfId="0" applyFont="1" applyBorder="1" applyAlignment="1">
      <alignment horizontal="center" vertical="center" wrapText="1"/>
    </xf>
    <xf numFmtId="0" fontId="65" fillId="0" borderId="120" xfId="0" applyFont="1" applyBorder="1" applyAlignment="1">
      <alignment horizontal="center" vertical="center" wrapText="1"/>
    </xf>
    <xf numFmtId="0" fontId="65" fillId="0" borderId="121" xfId="0" applyFont="1" applyBorder="1" applyAlignment="1">
      <alignment horizontal="center" vertical="center" wrapText="1"/>
    </xf>
    <xf numFmtId="0" fontId="65" fillId="0" borderId="67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" fillId="30" borderId="0" xfId="0" applyFont="1" applyFill="1" applyBorder="1" applyAlignment="1">
      <alignment horizontal="center"/>
    </xf>
    <xf numFmtId="0" fontId="2" fillId="53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/>
    </xf>
    <xf numFmtId="0" fontId="29" fillId="43" borderId="73" xfId="0" applyFont="1" applyFill="1" applyBorder="1" applyAlignment="1">
      <alignment horizontal="center"/>
    </xf>
    <xf numFmtId="0" fontId="29" fillId="43" borderId="93" xfId="0" applyFont="1" applyFill="1" applyBorder="1" applyAlignment="1">
      <alignment horizontal="center"/>
    </xf>
    <xf numFmtId="0" fontId="29" fillId="43" borderId="14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0" fillId="3" borderId="0" xfId="0" quotePrefix="1" applyFont="1" applyFill="1"/>
  </cellXfs>
  <cellStyles count="11">
    <cellStyle name="_Financial Schedules (LC Version)_1Q P&amp;L Reports Mar Forecast_July 09 Controllers Call~1 2" xfId="8" xr:uid="{78F861E2-24F7-45B4-9E5B-77777B848721}"/>
    <cellStyle name="_Financial Schedules (LC Version)_Headcount Forecast_GHH Total - Revised 11.4.10 2" xfId="7" xr:uid="{7727B514-EBE4-45A9-ADA2-649F5B5570FC}"/>
    <cellStyle name="Comma" xfId="9" builtinId="3"/>
    <cellStyle name="Currency" xfId="1" builtinId="4"/>
    <cellStyle name="Hyperlink" xfId="10" builtinId="8"/>
    <cellStyle name="Normal" xfId="0" builtinId="0"/>
    <cellStyle name="Normal 2" xfId="6" xr:uid="{C3C68DAF-B533-4126-981B-27149C2E27BB}"/>
    <cellStyle name="Normal 3" xfId="4" xr:uid="{F6CBC94E-333F-4186-91CD-6775F17DCDC7}"/>
    <cellStyle name="Normal 31" xfId="3" xr:uid="{12BBA85E-FEBD-4FD0-AADF-50C613DB3369}"/>
    <cellStyle name="Normal_BPC-MTD report_2012" xfId="5" xr:uid="{51F699B1-4ADE-4A40-925C-ACD393D06C48}"/>
    <cellStyle name="Percent" xfId="2" builtinId="5"/>
  </cellStyles>
  <dxfs count="1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'3.3 Membership Func. for Model'!$C$5:$C$11</c:f>
              <c:numCache>
                <c:formatCode>0.00</c:formatCode>
                <c:ptCount val="7"/>
                <c:pt idx="0">
                  <c:v>0</c:v>
                </c:pt>
                <c:pt idx="1">
                  <c:v>1.7000000000000001E-2</c:v>
                </c:pt>
                <c:pt idx="2">
                  <c:v>2.86603569604247E-2</c:v>
                </c:pt>
                <c:pt idx="3">
                  <c:v>0.10322811529540774</c:v>
                </c:pt>
                <c:pt idx="4">
                  <c:v>0.12497883093635305</c:v>
                </c:pt>
                <c:pt idx="5">
                  <c:v>0.5</c:v>
                </c:pt>
                <c:pt idx="6">
                  <c:v>1.01</c:v>
                </c:pt>
              </c:numCache>
            </c:numRef>
          </c:xVal>
          <c:yVal>
            <c:numRef>
              <c:f>'3.3 Membership Func. for Model'!$D$5:$D$11</c:f>
              <c:numCache>
                <c:formatCode>0.00</c:formatCode>
                <c:ptCount val="7"/>
                <c:pt idx="0">
                  <c:v>0</c:v>
                </c:pt>
                <c:pt idx="1">
                  <c:v>1.6831683168316833E-2</c:v>
                </c:pt>
                <c:pt idx="2">
                  <c:v>2.8376591049925445E-2</c:v>
                </c:pt>
                <c:pt idx="3">
                  <c:v>0.10220605474792845</c:v>
                </c:pt>
                <c:pt idx="4">
                  <c:v>0.12374141676866639</c:v>
                </c:pt>
                <c:pt idx="5">
                  <c:v>0.49504950495049505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2-4F72-BE31-7522A94EB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8872"/>
        <c:axId val="571789200"/>
      </c:scatterChart>
      <c:valAx>
        <c:axId val="571788872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crossBetween val="midCat"/>
      </c:valAx>
      <c:valAx>
        <c:axId val="5717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'3.3 Membership Func. for Model'!$C$12:$C$16</c:f>
              <c:numCache>
                <c:formatCode>0.00</c:formatCode>
                <c:ptCount val="5"/>
                <c:pt idx="0">
                  <c:v>0</c:v>
                </c:pt>
                <c:pt idx="1">
                  <c:v>0.03</c:v>
                </c:pt>
                <c:pt idx="2">
                  <c:v>0.12</c:v>
                </c:pt>
                <c:pt idx="3">
                  <c:v>0.5</c:v>
                </c:pt>
                <c:pt idx="4">
                  <c:v>1.01</c:v>
                </c:pt>
              </c:numCache>
            </c:numRef>
          </c:xVal>
          <c:yVal>
            <c:numRef>
              <c:f>'3.3 Membership Func. for Model'!$D$12:$D$16</c:f>
              <c:numCache>
                <c:formatCode>0.00</c:formatCode>
                <c:ptCount val="5"/>
                <c:pt idx="0">
                  <c:v>0</c:v>
                </c:pt>
                <c:pt idx="1">
                  <c:v>2.9702970297029702E-2</c:v>
                </c:pt>
                <c:pt idx="2">
                  <c:v>0.11881188118811881</c:v>
                </c:pt>
                <c:pt idx="3">
                  <c:v>0.49504950495049505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7-4C84-9600-3ED39E413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8872"/>
        <c:axId val="571789200"/>
      </c:scatterChart>
      <c:valAx>
        <c:axId val="571788872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crossBetween val="midCat"/>
      </c:valAx>
      <c:valAx>
        <c:axId val="5717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270341207349"/>
          <c:y val="0.13467592592592595"/>
          <c:w val="0.83132174103237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V3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'3.3 Membership Func. for Model'!$C$17:$C$21</c:f>
              <c:numCache>
                <c:formatCode>0.00</c:formatCode>
                <c:ptCount val="5"/>
                <c:pt idx="0">
                  <c:v>0</c:v>
                </c:pt>
                <c:pt idx="1">
                  <c:v>0.03</c:v>
                </c:pt>
                <c:pt idx="2">
                  <c:v>0.12</c:v>
                </c:pt>
                <c:pt idx="3">
                  <c:v>0.5</c:v>
                </c:pt>
                <c:pt idx="4">
                  <c:v>1.01</c:v>
                </c:pt>
              </c:numCache>
            </c:numRef>
          </c:xVal>
          <c:yVal>
            <c:numRef>
              <c:f>'3.3 Membership Func. for Model'!$D$17:$D$21</c:f>
              <c:numCache>
                <c:formatCode>0.00</c:formatCode>
                <c:ptCount val="5"/>
                <c:pt idx="0">
                  <c:v>0</c:v>
                </c:pt>
                <c:pt idx="1">
                  <c:v>2.9702970297029702E-2</c:v>
                </c:pt>
                <c:pt idx="2">
                  <c:v>0.11881188118811881</c:v>
                </c:pt>
                <c:pt idx="3">
                  <c:v>0.49504950495049505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3-4DB4-B995-AF30DCC73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8872"/>
        <c:axId val="571789200"/>
      </c:scatterChart>
      <c:valAx>
        <c:axId val="571788872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crossBetween val="midCat"/>
      </c:valAx>
      <c:valAx>
        <c:axId val="5717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'[1]Mmbrshp Func'!$C$28:$C$31</c:f>
              <c:strCache>
                <c:ptCount val="4"/>
                <c:pt idx="0">
                  <c:v>High</c:v>
                </c:pt>
                <c:pt idx="1">
                  <c:v>Medium-High</c:v>
                </c:pt>
                <c:pt idx="2">
                  <c:v>Medium</c:v>
                </c:pt>
                <c:pt idx="3">
                  <c:v>Low</c:v>
                </c:pt>
              </c:strCache>
            </c:strRef>
          </c:cat>
          <c:val>
            <c:numRef>
              <c:f>'[1]Mmbrshp Func'!$D$28:$D$31</c:f>
              <c:numCache>
                <c:formatCode>General</c:formatCode>
                <c:ptCount val="4"/>
                <c:pt idx="0">
                  <c:v>1</c:v>
                </c:pt>
                <c:pt idx="1">
                  <c:v>0.6</c:v>
                </c:pt>
                <c:pt idx="2">
                  <c:v>0.3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46-4A7F-BF69-3582CF5A9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788872"/>
        <c:axId val="571789200"/>
      </c:barChart>
      <c:catAx>
        <c:axId val="57178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auto val="1"/>
        <c:lblAlgn val="ctr"/>
        <c:lblOffset val="100"/>
        <c:noMultiLvlLbl val="0"/>
      </c:catAx>
      <c:valAx>
        <c:axId val="5717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'[1]Mmbrshp Func'!$C$32:$C$35</c:f>
              <c:strCache>
                <c:ptCount val="4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  <c:pt idx="3">
                  <c:v>None</c:v>
                </c:pt>
              </c:strCache>
            </c:strRef>
          </c:cat>
          <c:val>
            <c:numRef>
              <c:f>'[1]Mmbrshp Func'!$D$32:$D$35</c:f>
              <c:numCache>
                <c:formatCode>General</c:formatCode>
                <c:ptCount val="4"/>
                <c:pt idx="0">
                  <c:v>1</c:v>
                </c:pt>
                <c:pt idx="1">
                  <c:v>0.4</c:v>
                </c:pt>
                <c:pt idx="2">
                  <c:v>0.2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A-44F6-895F-854BD48F2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1788872"/>
        <c:axId val="571789200"/>
      </c:barChart>
      <c:catAx>
        <c:axId val="57178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auto val="1"/>
        <c:lblAlgn val="ctr"/>
        <c:lblOffset val="100"/>
        <c:noMultiLvlLbl val="0"/>
      </c:catAx>
      <c:valAx>
        <c:axId val="5717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270341207349"/>
          <c:y val="0.13467592592592595"/>
          <c:w val="0.83132174103237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V4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'3.3 Membership Func. for Model'!$C$22:$C$24</c:f>
              <c:numCache>
                <c:formatCode>0.00</c:formatCode>
                <c:ptCount val="3"/>
                <c:pt idx="0">
                  <c:v>0</c:v>
                </c:pt>
                <c:pt idx="1">
                  <c:v>0.15</c:v>
                </c:pt>
                <c:pt idx="2">
                  <c:v>1.01</c:v>
                </c:pt>
              </c:numCache>
            </c:numRef>
          </c:xVal>
          <c:yVal>
            <c:numRef>
              <c:f>'3.3 Membership Func. for Model'!$D$22:$D$24</c:f>
              <c:numCache>
                <c:formatCode>0.00</c:formatCode>
                <c:ptCount val="3"/>
                <c:pt idx="0">
                  <c:v>0</c:v>
                </c:pt>
                <c:pt idx="1">
                  <c:v>0.14851485148514851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3-4CBA-A290-1869271EF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8872"/>
        <c:axId val="571789200"/>
      </c:scatterChart>
      <c:valAx>
        <c:axId val="57178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crossBetween val="midCat"/>
      </c:valAx>
      <c:valAx>
        <c:axId val="5717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270341207349"/>
          <c:y val="0.13467592592592595"/>
          <c:w val="0.83132174103237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'3.3 Membership Func. for Model'!$A$25</c:f>
              <c:strCache>
                <c:ptCount val="1"/>
                <c:pt idx="0">
                  <c:v>v5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'3.3 Membership Func. for Model'!$C$25:$C$27</c:f>
              <c:numCache>
                <c:formatCode>0.00</c:formatCode>
                <c:ptCount val="3"/>
                <c:pt idx="0">
                  <c:v>0</c:v>
                </c:pt>
                <c:pt idx="1">
                  <c:v>0.15</c:v>
                </c:pt>
                <c:pt idx="2">
                  <c:v>1.01</c:v>
                </c:pt>
              </c:numCache>
            </c:numRef>
          </c:xVal>
          <c:yVal>
            <c:numRef>
              <c:f>'3.3 Membership Func. for Model'!$D$25:$D$27</c:f>
              <c:numCache>
                <c:formatCode>0.00</c:formatCode>
                <c:ptCount val="3"/>
                <c:pt idx="0">
                  <c:v>0</c:v>
                </c:pt>
                <c:pt idx="1">
                  <c:v>0.14851485148514851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87-4E0A-8AEF-B5ED3636B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8872"/>
        <c:axId val="571789200"/>
      </c:scatterChart>
      <c:valAx>
        <c:axId val="571788872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crossBetween val="midCat"/>
      </c:valAx>
      <c:valAx>
        <c:axId val="5717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270341207349"/>
          <c:y val="0.13467592592592595"/>
          <c:w val="0.83132174103237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'3.3 Membership Func. for Model'!$A$28</c:f>
              <c:strCache>
                <c:ptCount val="1"/>
                <c:pt idx="0">
                  <c:v>v6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'3.3 Membership Func. for Model'!$C$28:$C$30</c:f>
              <c:numCache>
                <c:formatCode>0.00</c:formatCode>
                <c:ptCount val="3"/>
                <c:pt idx="0">
                  <c:v>0</c:v>
                </c:pt>
                <c:pt idx="1">
                  <c:v>0.15</c:v>
                </c:pt>
                <c:pt idx="2">
                  <c:v>1.01</c:v>
                </c:pt>
              </c:numCache>
            </c:numRef>
          </c:xVal>
          <c:yVal>
            <c:numRef>
              <c:f>'3.3 Membership Func. for Model'!$D$28:$D$30</c:f>
              <c:numCache>
                <c:formatCode>0.00</c:formatCode>
                <c:ptCount val="3"/>
                <c:pt idx="0">
                  <c:v>0</c:v>
                </c:pt>
                <c:pt idx="1">
                  <c:v>0.14851485148514851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87-4F8D-9E80-CA54F474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8872"/>
        <c:axId val="571789200"/>
      </c:scatterChart>
      <c:valAx>
        <c:axId val="571788872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crossBetween val="midCat"/>
      </c:valAx>
      <c:valAx>
        <c:axId val="5717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270341207349"/>
          <c:y val="0.13467592592592595"/>
          <c:w val="0.83132174103237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'[1]Mmbrshp Func'!$A$36</c:f>
              <c:strCache>
                <c:ptCount val="1"/>
                <c:pt idx="0">
                  <c:v>v9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'[1]Mmbrshp Func'!$C$36:$C$38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2.0009999999999999</c:v>
                </c:pt>
              </c:numCache>
            </c:numRef>
          </c:xVal>
          <c:yVal>
            <c:numRef>
              <c:f>'[1]Mmbrshp Func'!$D$36:$D$38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09-4703-A0A6-43CD72F9F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8872"/>
        <c:axId val="571789200"/>
      </c:scatterChart>
      <c:valAx>
        <c:axId val="57178887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crossBetween val="midCat"/>
        <c:majorUnit val="1"/>
      </c:valAx>
      <c:valAx>
        <c:axId val="571789200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270341207349"/>
          <c:y val="0.13467592592592595"/>
          <c:w val="0.83132174103237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'[1]Mmbrshp Func'!$A$39</c:f>
              <c:strCache>
                <c:ptCount val="1"/>
                <c:pt idx="0">
                  <c:v>v10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'[1]Mmbrshp Func'!$C$39:$C$41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2.0009999999999999</c:v>
                </c:pt>
              </c:numCache>
            </c:numRef>
          </c:xVal>
          <c:yVal>
            <c:numRef>
              <c:f>'[1]Mmbrshp Func'!$D$39:$D$41</c:f>
              <c:numCache>
                <c:formatCode>General</c:formatCode>
                <c:ptCount val="3"/>
                <c:pt idx="0">
                  <c:v>0</c:v>
                </c:pt>
                <c:pt idx="1">
                  <c:v>0.5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47-48F6-B0F6-FF2E4078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8872"/>
        <c:axId val="571789200"/>
      </c:scatterChart>
      <c:valAx>
        <c:axId val="57178887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crossBetween val="midCat"/>
        <c:majorUnit val="1"/>
      </c:valAx>
      <c:valAx>
        <c:axId val="571789200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V14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12270341207349"/>
          <c:y val="0.13467592592592595"/>
          <c:w val="0.83132174103237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'3.3 Membership Func. for Model'!$A$59</c:f>
              <c:strCache>
                <c:ptCount val="1"/>
                <c:pt idx="0">
                  <c:v>v14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'3.3 Membership Func. for Model'!$C$59:$C$62</c:f>
              <c:numCache>
                <c:formatCode>General</c:formatCode>
                <c:ptCount val="4"/>
                <c:pt idx="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1.01</c:v>
                </c:pt>
              </c:numCache>
            </c:numRef>
          </c:xVal>
          <c:yVal>
            <c:numRef>
              <c:f>'3.3 Membership Func. for Model'!$D$59:$D$62</c:f>
              <c:numCache>
                <c:formatCode>0.00</c:formatCode>
                <c:ptCount val="4"/>
                <c:pt idx="0">
                  <c:v>0</c:v>
                </c:pt>
                <c:pt idx="1">
                  <c:v>0.29702970297029702</c:v>
                </c:pt>
                <c:pt idx="2">
                  <c:v>0.59405940594059403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98-491A-8904-D6453397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788872"/>
        <c:axId val="571789200"/>
      </c:scatterChart>
      <c:valAx>
        <c:axId val="57178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9200"/>
        <c:crosses val="autoZero"/>
        <c:crossBetween val="midCat"/>
      </c:valAx>
      <c:valAx>
        <c:axId val="5717892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Truth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78887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157288</xdr:colOff>
      <xdr:row>1</xdr:row>
      <xdr:rowOff>10286</xdr:rowOff>
    </xdr:from>
    <xdr:to>
      <xdr:col>9</xdr:col>
      <xdr:colOff>393249</xdr:colOff>
      <xdr:row>18</xdr:row>
      <xdr:rowOff>132776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3CDBD7-0830-430D-AABA-5A6A98374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463" y="159511"/>
          <a:ext cx="5719186" cy="3116515"/>
        </a:xfrm>
        <a:prstGeom prst="rect">
          <a:avLst/>
        </a:prstGeom>
      </xdr:spPr>
    </xdr:pic>
    <xdr:clientData/>
  </xdr:twoCellAnchor>
  <xdr:twoCellAnchor editAs="oneCell">
    <xdr:from>
      <xdr:col>0</xdr:col>
      <xdr:colOff>160408</xdr:colOff>
      <xdr:row>19</xdr:row>
      <xdr:rowOff>173790</xdr:rowOff>
    </xdr:from>
    <xdr:to>
      <xdr:col>9</xdr:col>
      <xdr:colOff>426982</xdr:colOff>
      <xdr:row>42</xdr:row>
      <xdr:rowOff>644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D45DB-BC90-7671-7357-8ABE7FDDB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08" y="3537100"/>
          <a:ext cx="5767973" cy="3400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0</xdr:row>
      <xdr:rowOff>41276</xdr:rowOff>
    </xdr:from>
    <xdr:to>
      <xdr:col>15</xdr:col>
      <xdr:colOff>330200</xdr:colOff>
      <xdr:row>12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F1DE67-870D-4F99-8F89-B262238E45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477837</xdr:colOff>
      <xdr:row>0</xdr:row>
      <xdr:rowOff>79375</xdr:rowOff>
    </xdr:from>
    <xdr:to>
      <xdr:col>23</xdr:col>
      <xdr:colOff>173037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4AF67-C8AF-4015-BBF9-38DC60DBB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406400</xdr:colOff>
      <xdr:row>0</xdr:row>
      <xdr:rowOff>101601</xdr:rowOff>
    </xdr:from>
    <xdr:to>
      <xdr:col>30</xdr:col>
      <xdr:colOff>393700</xdr:colOff>
      <xdr:row>12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B4A504-4DAE-4EF7-9000-8B2950B2A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176211</xdr:colOff>
      <xdr:row>27</xdr:row>
      <xdr:rowOff>70645</xdr:rowOff>
    </xdr:from>
    <xdr:to>
      <xdr:col>14</xdr:col>
      <xdr:colOff>546100</xdr:colOff>
      <xdr:row>38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6DC7C5-07B5-4336-A5C0-0495BDB477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608134</xdr:colOff>
      <xdr:row>27</xdr:row>
      <xdr:rowOff>63500</xdr:rowOff>
    </xdr:from>
    <xdr:to>
      <xdr:col>23</xdr:col>
      <xdr:colOff>168518</xdr:colOff>
      <xdr:row>38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1F4472-955B-4C6D-8F29-BCE13BBBA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53975</xdr:colOff>
      <xdr:row>13</xdr:row>
      <xdr:rowOff>146051</xdr:rowOff>
    </xdr:from>
    <xdr:to>
      <xdr:col>15</xdr:col>
      <xdr:colOff>0</xdr:colOff>
      <xdr:row>26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FFB945-D91E-4F89-9B27-62241B838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558801</xdr:colOff>
      <xdr:row>13</xdr:row>
      <xdr:rowOff>122239</xdr:rowOff>
    </xdr:from>
    <xdr:to>
      <xdr:col>23</xdr:col>
      <xdr:colOff>184151</xdr:colOff>
      <xdr:row>25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399D674-C7E8-4820-B299-74FC15B8C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463550</xdr:colOff>
      <xdr:row>13</xdr:row>
      <xdr:rowOff>111919</xdr:rowOff>
    </xdr:from>
    <xdr:to>
      <xdr:col>30</xdr:col>
      <xdr:colOff>446087</xdr:colOff>
      <xdr:row>25</xdr:row>
      <xdr:rowOff>133350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AF4199-E37C-4988-9311-18B34F91C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514350</xdr:colOff>
      <xdr:row>27</xdr:row>
      <xdr:rowOff>3175</xdr:rowOff>
    </xdr:from>
    <xdr:to>
      <xdr:col>30</xdr:col>
      <xdr:colOff>65882</xdr:colOff>
      <xdr:row>38</xdr:row>
      <xdr:rowOff>120650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29290DD-A158-40A3-8554-4C03C05999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124619</xdr:colOff>
      <xdr:row>39</xdr:row>
      <xdr:rowOff>141288</xdr:rowOff>
    </xdr:from>
    <xdr:to>
      <xdr:col>15</xdr:col>
      <xdr:colOff>368300</xdr:colOff>
      <xdr:row>51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4987F0-2944-4CAD-AD6C-D32DB75B0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55</xdr:row>
      <xdr:rowOff>0</xdr:rowOff>
    </xdr:from>
    <xdr:to>
      <xdr:col>14</xdr:col>
      <xdr:colOff>555625</xdr:colOff>
      <xdr:row>67</xdr:row>
      <xdr:rowOff>114299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3F99B-E78E-4C77-A5B2-B059316E2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101600</xdr:colOff>
      <xdr:row>5</xdr:row>
      <xdr:rowOff>24787</xdr:rowOff>
    </xdr:from>
    <xdr:to>
      <xdr:col>18</xdr:col>
      <xdr:colOff>141195</xdr:colOff>
      <xdr:row>10</xdr:row>
      <xdr:rowOff>50563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7B9D50-1EF3-52F2-BECC-73022CE8B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945537"/>
          <a:ext cx="6745195" cy="946526"/>
        </a:xfrm>
        <a:prstGeom prst="rect">
          <a:avLst/>
        </a:prstGeom>
      </xdr:spPr>
    </xdr:pic>
    <xdr:clientData/>
  </xdr:twoCellAnchor>
  <xdr:twoCellAnchor editAs="oneCell">
    <xdr:from>
      <xdr:col>6</xdr:col>
      <xdr:colOff>560836</xdr:colOff>
      <xdr:row>15</xdr:row>
      <xdr:rowOff>6350</xdr:rowOff>
    </xdr:from>
    <xdr:to>
      <xdr:col>13</xdr:col>
      <xdr:colOff>507059</xdr:colOff>
      <xdr:row>20</xdr:row>
      <xdr:rowOff>136289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59DDBA-79F6-DE7B-0E6B-B92CB78D5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36086" y="3136900"/>
          <a:ext cx="4213423" cy="10506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hric\AppData\Local\Microsoft\Windows\INetCache\Content.Outlook\ZHFEQBPE\Copy%20of%202021%20DOMINO%20model%20dashboard%20key462%20(7_23%20Cversio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Logic S1"/>
      <sheetName val="Model Logic S2"/>
      <sheetName val="Mmbrshp Func"/>
      <sheetName val="Output"/>
      <sheetName val="STEP1&amp;2"/>
      <sheetName val="STEP3"/>
      <sheetName val="STEP4"/>
      <sheetName val="STEP5"/>
      <sheetName val="STEP6"/>
      <sheetName val="check"/>
    </sheetNames>
    <sheetDataSet>
      <sheetData sheetId="0"/>
      <sheetData sheetId="1"/>
      <sheetData sheetId="2">
        <row r="2">
          <cell r="C2">
            <v>0</v>
          </cell>
        </row>
        <row r="28">
          <cell r="C28" t="str">
            <v>High</v>
          </cell>
          <cell r="D28">
            <v>1</v>
          </cell>
        </row>
        <row r="29">
          <cell r="C29" t="str">
            <v>Medium-High</v>
          </cell>
          <cell r="D29">
            <v>0.6</v>
          </cell>
        </row>
        <row r="30">
          <cell r="C30" t="str">
            <v>Medium</v>
          </cell>
          <cell r="D30">
            <v>0.3</v>
          </cell>
        </row>
        <row r="31">
          <cell r="C31" t="str">
            <v>Low</v>
          </cell>
          <cell r="D31">
            <v>0</v>
          </cell>
        </row>
        <row r="32">
          <cell r="C32" t="str">
            <v>High</v>
          </cell>
          <cell r="D32">
            <v>1</v>
          </cell>
        </row>
        <row r="33">
          <cell r="C33" t="str">
            <v>Medium</v>
          </cell>
          <cell r="D33">
            <v>0.4</v>
          </cell>
        </row>
        <row r="34">
          <cell r="C34" t="str">
            <v>Low</v>
          </cell>
          <cell r="D34">
            <v>0.2</v>
          </cell>
        </row>
        <row r="35">
          <cell r="C35" t="str">
            <v>None</v>
          </cell>
          <cell r="D35">
            <v>0</v>
          </cell>
        </row>
        <row r="36">
          <cell r="A36" t="str">
            <v>v9</v>
          </cell>
          <cell r="C36">
            <v>0</v>
          </cell>
          <cell r="D36">
            <v>0</v>
          </cell>
        </row>
        <row r="37">
          <cell r="C37">
            <v>1</v>
          </cell>
          <cell r="D37">
            <v>0.5</v>
          </cell>
        </row>
        <row r="38">
          <cell r="C38">
            <v>2.0009999999999999</v>
          </cell>
          <cell r="D38">
            <v>1</v>
          </cell>
        </row>
        <row r="39">
          <cell r="A39" t="str">
            <v>v10</v>
          </cell>
          <cell r="C39">
            <v>0</v>
          </cell>
          <cell r="D39">
            <v>0</v>
          </cell>
        </row>
        <row r="40">
          <cell r="C40">
            <v>1</v>
          </cell>
          <cell r="D40">
            <v>0.5</v>
          </cell>
        </row>
        <row r="41">
          <cell r="C41">
            <v>2.0009999999999999</v>
          </cell>
          <cell r="D41">
            <v>1</v>
          </cell>
        </row>
      </sheetData>
      <sheetData sheetId="3">
        <row r="1">
          <cell r="L1" t="str">
            <v>do not use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anduri, Avijit" refreshedDate="45120.533138194442" createdVersion="8" refreshedVersion="8" minRefreshableVersion="3" recordCount="18" xr:uid="{51F791CC-891E-49BA-9171-09A2BA336C66}">
  <cacheSource type="worksheet">
    <worksheetSource ref="K4:P22" sheet="2024 launches"/>
  </cacheSource>
  <cacheFields count="6">
    <cacheField name="Brand" numFmtId="0">
      <sharedItems/>
    </cacheField>
    <cacheField name="Indication from Launch Chart" numFmtId="0">
      <sharedItems/>
    </cacheField>
    <cacheField name="Month" numFmtId="0">
      <sharedItems/>
    </cacheField>
    <cacheField name="Type" numFmtId="0">
      <sharedItems count="3">
        <s v="product"/>
        <s v="indication"/>
        <s v="tumor"/>
      </sharedItems>
    </cacheField>
    <cacheField name="Indication Mapping from Domino" numFmtId="0">
      <sharedItems count="14">
        <s v="MK4280A - Pembro + Lag3"/>
        <s v="Key + Lyn - NSCLC"/>
        <s v="Key + Lyn - Ovarian"/>
        <s v="Key + Len - H&amp;N"/>
        <s v="Key + Len - NSCLC"/>
        <s v="Keytruda-Lenvima Endometrial"/>
        <s v="Key + Len - Gastric"/>
        <s v="Keytruda - Cervical"/>
        <s v="Keytruda - Biliary"/>
        <s v="Keytruda - Bladder - mUC"/>
        <s v="Keytruda - Endometrial (inclusive of MSI-H, and all-comers)"/>
        <s v="Keytruda - Mesothelioma"/>
        <s v="Keytruda - MIBC"/>
        <s v="Keytruda - 1L Gastric HER2- (KN859)"/>
      </sharedItems>
    </cacheField>
    <cacheField name="Coun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FAVE-Keytruda"/>
    <s v="3L + MSS CRC"/>
    <s v="June"/>
    <x v="0"/>
    <x v="0"/>
    <n v="1"/>
  </r>
  <r>
    <s v="Keytruda-Lynparza"/>
    <s v="1L mNSCLC Sq."/>
    <s v="July"/>
    <x v="1"/>
    <x v="1"/>
    <n v="1"/>
  </r>
  <r>
    <s v="Keytruda-Lynparza"/>
    <s v="1L mNSCLC Nsq."/>
    <s v="Sept"/>
    <x v="1"/>
    <x v="1"/>
    <n v="0"/>
  </r>
  <r>
    <s v="Keytruda-Lynparza"/>
    <s v="1L Ovarian"/>
    <s v="Dec"/>
    <x v="1"/>
    <x v="2"/>
    <n v="1"/>
  </r>
  <r>
    <s v="Keytruda-Lenvima"/>
    <s v="1L R/M HNSCC"/>
    <s v="April"/>
    <x v="1"/>
    <x v="3"/>
    <n v="1"/>
  </r>
  <r>
    <s v="Keytruda-Lenvima"/>
    <s v="2L NSCLC PD-1 Exp."/>
    <s v="May"/>
    <x v="1"/>
    <x v="4"/>
    <n v="1"/>
  </r>
  <r>
    <s v="Keytruda-Lenvima"/>
    <s v="1L Endo"/>
    <s v="June"/>
    <x v="1"/>
    <x v="5"/>
    <n v="1"/>
  </r>
  <r>
    <s v="Keytruda-Lenvima"/>
    <s v="1L Nsq. NSCLC"/>
    <s v="July"/>
    <x v="1"/>
    <x v="4"/>
    <n v="0"/>
  </r>
  <r>
    <s v="Keytruda-Lenvima"/>
    <s v="HER2-Gastric"/>
    <s v="Dec"/>
    <x v="1"/>
    <x v="6"/>
    <n v="1"/>
  </r>
  <r>
    <s v="Keytruda"/>
    <s v="Adjuvant Cervical"/>
    <s v="Feb"/>
    <x v="1"/>
    <x v="7"/>
    <n v="1"/>
  </r>
  <r>
    <s v="Keytruda"/>
    <s v="1L Biliary"/>
    <s v="March"/>
    <x v="2"/>
    <x v="8"/>
    <n v="1"/>
  </r>
  <r>
    <s v="Keytruda"/>
    <s v="1L mUC"/>
    <s v="May"/>
    <x v="1"/>
    <x v="9"/>
    <n v="1"/>
  </r>
  <r>
    <s v="Keytruda"/>
    <s v="2L + Adj Endo"/>
    <s v="Aug"/>
    <x v="1"/>
    <x v="10"/>
    <n v="1"/>
  </r>
  <r>
    <s v="Keytruda"/>
    <s v="1L pMMR Endo"/>
    <s v="Aug"/>
    <x v="1"/>
    <x v="10"/>
    <n v="1"/>
  </r>
  <r>
    <s v="Keytruda"/>
    <s v="1L dMMR Endo"/>
    <s v="Aug"/>
    <x v="1"/>
    <x v="10"/>
    <n v="0"/>
  </r>
  <r>
    <s v="Keytruda"/>
    <s v="1L Mesothelioma"/>
    <s v="Oct"/>
    <x v="2"/>
    <x v="11"/>
    <n v="1"/>
  </r>
  <r>
    <s v="Keytruda"/>
    <s v="Neo/Adj MIBC Cis-Eligible"/>
    <s v="Dec"/>
    <x v="1"/>
    <x v="12"/>
    <n v="1"/>
  </r>
  <r>
    <s v="Keytruda"/>
    <s v="1L Gastric"/>
    <s v="Dec'23"/>
    <x v="1"/>
    <x v="1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4A721F-0754-4806-A515-A20DF0A525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dication/Tumor Name">
  <location ref="S5:W21" firstHeaderRow="1" firstDataRow="2" firstDataCol="1"/>
  <pivotFields count="6"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axis="axisRow" showAll="0">
      <items count="15">
        <item x="6"/>
        <item x="3"/>
        <item x="4"/>
        <item x="1"/>
        <item x="2"/>
        <item x="8"/>
        <item x="9"/>
        <item x="7"/>
        <item x="10"/>
        <item x="11"/>
        <item x="12"/>
        <item x="5"/>
        <item x="0"/>
        <item x="13"/>
        <item t="default"/>
      </items>
    </pivotField>
    <pivotField dataField="1"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C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C1FB-831F-4347-A1B0-93BB0B6CCDCE}">
  <sheetPr>
    <tabColor theme="9" tint="-0.249977111117893"/>
  </sheetPr>
  <dimension ref="B1:AI166"/>
  <sheetViews>
    <sheetView zoomScaleNormal="100" workbookViewId="0">
      <selection activeCell="AH3" sqref="AH3"/>
    </sheetView>
  </sheetViews>
  <sheetFormatPr defaultRowHeight="14.5" x14ac:dyDescent="0.35"/>
  <cols>
    <col min="1" max="1" width="5.36328125" style="4" customWidth="1"/>
    <col min="2" max="2" width="12.7265625" style="4" customWidth="1"/>
    <col min="3" max="3" width="19.453125" style="4" customWidth="1"/>
    <col min="4" max="4" width="26.54296875" style="4" bestFit="1" customWidth="1"/>
    <col min="5" max="5" width="65.90625" style="4" bestFit="1" customWidth="1"/>
    <col min="6" max="6" width="21.453125" style="4" bestFit="1" customWidth="1"/>
    <col min="7" max="7" width="17.26953125" style="4" bestFit="1" customWidth="1"/>
    <col min="8" max="8" width="74.1796875" style="4" bestFit="1" customWidth="1"/>
    <col min="9" max="9" width="50" style="4" bestFit="1" customWidth="1"/>
    <col min="10" max="10" width="18.6328125" style="4" bestFit="1" customWidth="1"/>
    <col min="11" max="15" width="14" style="4" bestFit="1" customWidth="1"/>
    <col min="16" max="16" width="20.54296875" style="4" bestFit="1" customWidth="1"/>
    <col min="17" max="17" width="33.6328125" style="124" bestFit="1" customWidth="1"/>
    <col min="18" max="18" width="23.36328125" style="4" bestFit="1" customWidth="1"/>
    <col min="19" max="19" width="26" style="4" bestFit="1" customWidth="1"/>
    <col min="20" max="21" width="37.26953125" style="4" bestFit="1" customWidth="1"/>
    <col min="22" max="24" width="21.90625" style="4" bestFit="1" customWidth="1"/>
    <col min="25" max="26" width="18.6328125" style="4" bestFit="1" customWidth="1"/>
    <col min="27" max="28" width="20.453125" style="4" bestFit="1" customWidth="1"/>
    <col min="29" max="30" width="19.90625" style="4" bestFit="1" customWidth="1"/>
    <col min="31" max="31" width="23.08984375" style="4" bestFit="1" customWidth="1"/>
    <col min="32" max="32" width="33.6328125" style="4" bestFit="1" customWidth="1"/>
    <col min="33" max="33" width="34.26953125" style="4" bestFit="1" customWidth="1"/>
    <col min="34" max="34" width="38.90625" style="4" bestFit="1" customWidth="1"/>
    <col min="35" max="35" width="39.453125" style="4" bestFit="1" customWidth="1"/>
    <col min="36" max="16384" width="8.7265625" style="4"/>
  </cols>
  <sheetData>
    <row r="1" spans="2:35" x14ac:dyDescent="0.35">
      <c r="B1" s="719" t="s">
        <v>932</v>
      </c>
    </row>
    <row r="2" spans="2:35" x14ac:dyDescent="0.35">
      <c r="B2" s="748" t="s">
        <v>930</v>
      </c>
      <c r="K2" s="4" t="b">
        <f t="shared" ref="K2:P2" si="0">K3=K4</f>
        <v>1</v>
      </c>
      <c r="L2" s="4" t="b">
        <f t="shared" si="0"/>
        <v>1</v>
      </c>
      <c r="M2" s="4" t="b">
        <f t="shared" si="0"/>
        <v>1</v>
      </c>
      <c r="N2" s="4" t="b">
        <f t="shared" si="0"/>
        <v>1</v>
      </c>
      <c r="O2" s="4" t="b">
        <f t="shared" si="0"/>
        <v>1</v>
      </c>
      <c r="P2" s="4" t="b">
        <f t="shared" si="0"/>
        <v>1</v>
      </c>
      <c r="V2" s="4" t="b">
        <f>V3=V4</f>
        <v>1</v>
      </c>
      <c r="W2" s="4" t="b">
        <f>W3=W4</f>
        <v>1</v>
      </c>
      <c r="X2" s="4" t="b">
        <f>X3=X4</f>
        <v>1</v>
      </c>
      <c r="AA2" s="4" t="b">
        <f>AA3=AA4</f>
        <v>1</v>
      </c>
      <c r="AB2" s="4" t="b">
        <f>AB3=AB4</f>
        <v>1</v>
      </c>
      <c r="AE2" s="760" t="b">
        <f>AE3=AE4</f>
        <v>1</v>
      </c>
    </row>
    <row r="3" spans="2:35" x14ac:dyDescent="0.35">
      <c r="B3" s="748" t="s">
        <v>962</v>
      </c>
      <c r="K3" s="177">
        <v>141071.57639900001</v>
      </c>
      <c r="L3" s="177">
        <v>152301.51907466599</v>
      </c>
      <c r="M3" s="177">
        <v>175976.92587200002</v>
      </c>
      <c r="N3" s="177">
        <v>188319.38282500001</v>
      </c>
      <c r="O3" s="177">
        <v>176084.728034</v>
      </c>
      <c r="P3" s="177">
        <v>1333.7579060669996</v>
      </c>
      <c r="V3" s="185">
        <v>1243792.0266543238</v>
      </c>
      <c r="W3" s="185">
        <v>1434670.4526018945</v>
      </c>
      <c r="X3" s="185">
        <v>1546484.5918871663</v>
      </c>
      <c r="AA3" s="185">
        <v>648377.03927124094</v>
      </c>
      <c r="AB3" s="185">
        <v>823628.27981352119</v>
      </c>
      <c r="AE3" s="760">
        <v>822414.01657436241</v>
      </c>
    </row>
    <row r="4" spans="2:35" ht="15" thickBot="1" x14ac:dyDescent="0.4">
      <c r="B4" s="748"/>
      <c r="I4" s="287" t="s">
        <v>961</v>
      </c>
      <c r="K4" s="184">
        <f>SUBTOTAL(9,K6:K166)</f>
        <v>141071.57639900001</v>
      </c>
      <c r="L4" s="184">
        <f t="shared" ref="L4:P4" si="1">SUBTOTAL(9,L6:L166)</f>
        <v>152301.51907466599</v>
      </c>
      <c r="M4" s="184">
        <f t="shared" si="1"/>
        <v>175976.92587200002</v>
      </c>
      <c r="N4" s="184">
        <f t="shared" si="1"/>
        <v>188319.38282500001</v>
      </c>
      <c r="O4" s="184">
        <f t="shared" si="1"/>
        <v>176084.728034</v>
      </c>
      <c r="P4" s="184">
        <f t="shared" si="1"/>
        <v>1333.7579060669996</v>
      </c>
      <c r="Q4" s="4"/>
      <c r="V4" s="184">
        <f t="shared" ref="V4:X4" si="2">SUBTOTAL(9,V6:V166)</f>
        <v>1243792.0266543238</v>
      </c>
      <c r="W4" s="184">
        <f t="shared" si="2"/>
        <v>1434670.4526018945</v>
      </c>
      <c r="X4" s="184">
        <f t="shared" si="2"/>
        <v>1546484.5918871663</v>
      </c>
      <c r="AA4" s="184">
        <f t="shared" ref="AA4:AB4" si="3">SUBTOTAL(9,AA6:AA166)</f>
        <v>648377.03927124094</v>
      </c>
      <c r="AB4" s="184">
        <f t="shared" si="3"/>
        <v>823628.27981352119</v>
      </c>
      <c r="AE4" s="763">
        <f>SUBTOTAL(9,AE6:AE166)</f>
        <v>822414.01657436241</v>
      </c>
      <c r="AF4" s="4">
        <f t="shared" ref="AF4:AI4" si="4">SUBTOTAL(9,AF6:AF166)</f>
        <v>2247660</v>
      </c>
      <c r="AG4" s="4">
        <f t="shared" si="4"/>
        <v>1977089.5</v>
      </c>
      <c r="AH4" s="4">
        <f t="shared" si="4"/>
        <v>11713725862.246414</v>
      </c>
      <c r="AI4" s="4">
        <f t="shared" si="4"/>
        <v>10729143967.839775</v>
      </c>
    </row>
    <row r="5" spans="2:35" ht="27.5" customHeight="1" thickBot="1" x14ac:dyDescent="0.4">
      <c r="C5" s="612" t="s">
        <v>355</v>
      </c>
      <c r="D5" s="153" t="s">
        <v>0</v>
      </c>
      <c r="E5" s="154" t="s">
        <v>1</v>
      </c>
      <c r="F5" s="154" t="s">
        <v>2</v>
      </c>
      <c r="G5" s="154" t="s">
        <v>3</v>
      </c>
      <c r="H5" s="154" t="s">
        <v>4</v>
      </c>
      <c r="I5" s="154" t="s">
        <v>5</v>
      </c>
      <c r="J5" s="154" t="s">
        <v>6</v>
      </c>
      <c r="K5" s="154">
        <v>2023</v>
      </c>
      <c r="L5" s="154">
        <v>2024</v>
      </c>
      <c r="M5" s="154">
        <v>2025</v>
      </c>
      <c r="N5" s="154">
        <v>2026</v>
      </c>
      <c r="O5" s="154">
        <v>2027</v>
      </c>
      <c r="P5" s="154" t="s">
        <v>7</v>
      </c>
      <c r="Q5" s="154" t="s">
        <v>8</v>
      </c>
      <c r="R5" s="154" t="s">
        <v>9</v>
      </c>
      <c r="S5" s="154" t="s">
        <v>10</v>
      </c>
      <c r="T5" s="154" t="s">
        <v>11</v>
      </c>
      <c r="U5" s="154" t="s">
        <v>11</v>
      </c>
      <c r="V5" s="154" t="s">
        <v>12</v>
      </c>
      <c r="W5" s="154" t="s">
        <v>13</v>
      </c>
      <c r="X5" s="154" t="s">
        <v>14</v>
      </c>
      <c r="Y5" s="154" t="s">
        <v>15</v>
      </c>
      <c r="Z5" s="154" t="s">
        <v>16</v>
      </c>
      <c r="AA5" s="154" t="s">
        <v>17</v>
      </c>
      <c r="AB5" s="154" t="s">
        <v>18</v>
      </c>
      <c r="AC5" s="154" t="s">
        <v>19</v>
      </c>
      <c r="AD5" s="154" t="s">
        <v>20</v>
      </c>
      <c r="AE5" s="158" t="s">
        <v>21</v>
      </c>
      <c r="AF5" s="156" t="s">
        <v>387</v>
      </c>
      <c r="AG5" s="155" t="s">
        <v>388</v>
      </c>
      <c r="AH5" s="155" t="s">
        <v>389</v>
      </c>
      <c r="AI5" s="157" t="s">
        <v>390</v>
      </c>
    </row>
    <row r="6" spans="2:35" x14ac:dyDescent="0.35">
      <c r="C6" s="179" t="str">
        <f>INDEX('Finance to Brand Mapping'!$D$7:$D$100,MATCH('Raw Forecasting NPS Data'!$I6,'Finance to Brand Mapping'!$C$7:$C$100,0))</f>
        <v>Keytruda</v>
      </c>
      <c r="D6" s="144" t="s">
        <v>22</v>
      </c>
      <c r="E6" s="145" t="s">
        <v>23</v>
      </c>
      <c r="F6" s="145" t="s">
        <v>24</v>
      </c>
      <c r="G6" s="145" t="s">
        <v>25</v>
      </c>
      <c r="H6" s="145" t="s">
        <v>26</v>
      </c>
      <c r="I6" s="145" t="s">
        <v>27</v>
      </c>
      <c r="J6" s="145" t="s">
        <v>28</v>
      </c>
      <c r="K6" s="146">
        <v>0</v>
      </c>
      <c r="L6" s="146">
        <v>960.74173700000006</v>
      </c>
      <c r="M6" s="146">
        <v>1835.173573</v>
      </c>
      <c r="N6" s="146">
        <v>1736.757989</v>
      </c>
      <c r="O6" s="146">
        <v>1447.5695620000001</v>
      </c>
      <c r="P6" s="146">
        <v>7.2</v>
      </c>
      <c r="Q6" s="147">
        <v>45324</v>
      </c>
      <c r="R6" s="145" t="s">
        <v>29</v>
      </c>
      <c r="S6" s="145">
        <v>24</v>
      </c>
      <c r="T6" s="145" t="s">
        <v>30</v>
      </c>
      <c r="U6" s="145" t="s">
        <v>31</v>
      </c>
      <c r="V6" s="149">
        <v>6917.3405064000008</v>
      </c>
      <c r="W6" s="149">
        <v>13213.249725600001</v>
      </c>
      <c r="X6" s="149">
        <v>12504.657520799999</v>
      </c>
      <c r="Y6" s="148">
        <v>1</v>
      </c>
      <c r="Z6" s="148">
        <v>1</v>
      </c>
      <c r="AA6" s="149">
        <v>6917.3405064000008</v>
      </c>
      <c r="AB6" s="149">
        <v>13213.249725600001</v>
      </c>
      <c r="AC6" s="148">
        <v>0.55000000000000004</v>
      </c>
      <c r="AD6" s="148">
        <v>0.45</v>
      </c>
      <c r="AE6" s="159">
        <v>9750.499655040001</v>
      </c>
      <c r="AF6" s="162">
        <f>_xlfn.IFNA(INDEX('PGM Values'!$D$9:$D$17,MATCH('Raw Forecasting NPS Data'!$C6,'PGM Values'!$B$9:$B$17,0)),0)</f>
        <v>11542</v>
      </c>
      <c r="AG6" s="150">
        <f>_xlfn.IFNA(INDEX('PGM Values'!$C$9:$C$17,MATCH('Raw Forecasting NPS Data'!$C6,'PGM Values'!$B$9:$B$17,0)),0)</f>
        <v>11542</v>
      </c>
      <c r="AH6" s="150">
        <f>AE6*AF6</f>
        <v>112540267.01847169</v>
      </c>
      <c r="AI6" s="163">
        <f>AE6*AG6</f>
        <v>112540267.01847169</v>
      </c>
    </row>
    <row r="7" spans="2:35" x14ac:dyDescent="0.35">
      <c r="C7" s="180" t="str">
        <f>INDEX('Finance to Brand Mapping'!$D$7:$D$100,MATCH('Raw Forecasting NPS Data'!$I7,'Finance to Brand Mapping'!$C$7:$C$100,0))</f>
        <v>Keytruda</v>
      </c>
      <c r="D7" s="138" t="s">
        <v>33</v>
      </c>
      <c r="E7" s="22" t="s">
        <v>34</v>
      </c>
      <c r="F7" s="22" t="s">
        <v>35</v>
      </c>
      <c r="G7" s="22" t="s">
        <v>25</v>
      </c>
      <c r="H7" s="22" t="s">
        <v>36</v>
      </c>
      <c r="I7" s="22" t="s">
        <v>344</v>
      </c>
      <c r="J7" s="22" t="s">
        <v>28</v>
      </c>
      <c r="K7" s="125">
        <v>0</v>
      </c>
      <c r="L7" s="125">
        <v>956.30157599999995</v>
      </c>
      <c r="M7" s="125">
        <v>1693.1823930000003</v>
      </c>
      <c r="N7" s="125">
        <v>1598.4025809999998</v>
      </c>
      <c r="O7" s="125">
        <v>1294.7644640000001</v>
      </c>
      <c r="P7" s="125">
        <v>14</v>
      </c>
      <c r="Q7" s="126">
        <v>45324</v>
      </c>
      <c r="R7" s="22" t="s">
        <v>37</v>
      </c>
      <c r="S7" s="22">
        <v>24</v>
      </c>
      <c r="T7" s="22" t="s">
        <v>30</v>
      </c>
      <c r="U7" s="22" t="s">
        <v>31</v>
      </c>
      <c r="V7" s="128">
        <v>13388.222064</v>
      </c>
      <c r="W7" s="128">
        <v>23704.553502000002</v>
      </c>
      <c r="X7" s="128">
        <v>22377.636133999997</v>
      </c>
      <c r="Y7" s="127">
        <v>1</v>
      </c>
      <c r="Z7" s="127">
        <v>1</v>
      </c>
      <c r="AA7" s="128">
        <v>13388.222064</v>
      </c>
      <c r="AB7" s="128">
        <v>23704.553502000002</v>
      </c>
      <c r="AC7" s="127">
        <v>0.55000000000000004</v>
      </c>
      <c r="AD7" s="127">
        <v>0.45</v>
      </c>
      <c r="AE7" s="160">
        <v>18030.571211100003</v>
      </c>
      <c r="AF7" s="164">
        <f>_xlfn.IFNA(INDEX('PGM Values'!$D$9:$D$17,MATCH('Raw Forecasting NPS Data'!$C7,'PGM Values'!$B$9:$B$17,0)),0)</f>
        <v>11542</v>
      </c>
      <c r="AG7" s="129">
        <f>_xlfn.IFNA(INDEX('PGM Values'!$C$9:$C$17,MATCH('Raw Forecasting NPS Data'!$C7,'PGM Values'!$B$9:$B$17,0)),0)</f>
        <v>11542</v>
      </c>
      <c r="AH7" s="129">
        <f t="shared" ref="AH7:AH70" si="5">AE7*AF7</f>
        <v>208108852.91851625</v>
      </c>
      <c r="AI7" s="165">
        <f t="shared" ref="AI7:AI70" si="6">AE7*AG7</f>
        <v>208108852.91851625</v>
      </c>
    </row>
    <row r="8" spans="2:35" x14ac:dyDescent="0.35">
      <c r="C8" s="180" t="str">
        <f>INDEX('Finance to Brand Mapping'!$D$7:$D$100,MATCH('Raw Forecasting NPS Data'!$I8,'Finance to Brand Mapping'!$C$7:$C$100,0))</f>
        <v>Keytruda</v>
      </c>
      <c r="D8" s="138" t="s">
        <v>33</v>
      </c>
      <c r="E8" s="22" t="s">
        <v>38</v>
      </c>
      <c r="F8" s="22" t="s">
        <v>24</v>
      </c>
      <c r="G8" s="22" t="s">
        <v>25</v>
      </c>
      <c r="H8" s="22" t="s">
        <v>39</v>
      </c>
      <c r="I8" s="22" t="s">
        <v>345</v>
      </c>
      <c r="J8" s="22" t="s">
        <v>28</v>
      </c>
      <c r="K8" s="125">
        <v>1980.0246320000001</v>
      </c>
      <c r="L8" s="125">
        <v>1497.168549</v>
      </c>
      <c r="M8" s="125">
        <v>1450.5314269999999</v>
      </c>
      <c r="N8" s="125">
        <v>1375.8724520000003</v>
      </c>
      <c r="O8" s="125">
        <v>1213.9390210000001</v>
      </c>
      <c r="P8" s="125">
        <v>8.2007701619999995</v>
      </c>
      <c r="Q8" s="126">
        <v>44482</v>
      </c>
      <c r="R8" s="22" t="s">
        <v>40</v>
      </c>
      <c r="S8" s="22" t="s">
        <v>41</v>
      </c>
      <c r="T8" s="22" t="s">
        <v>42</v>
      </c>
      <c r="U8" s="22" t="s">
        <v>42</v>
      </c>
      <c r="V8" s="128">
        <v>12277.935164124034</v>
      </c>
      <c r="W8" s="128">
        <v>11895.47484558488</v>
      </c>
      <c r="X8" s="128">
        <v>11283.213751079378</v>
      </c>
      <c r="Y8" s="127">
        <v>0.8</v>
      </c>
      <c r="Z8" s="127">
        <v>0.6</v>
      </c>
      <c r="AA8" s="128">
        <v>9822.348131299228</v>
      </c>
      <c r="AB8" s="128">
        <v>7137.2849073509278</v>
      </c>
      <c r="AC8" s="127">
        <v>0.65</v>
      </c>
      <c r="AD8" s="127">
        <v>0.35</v>
      </c>
      <c r="AE8" s="160">
        <v>8882.5760029173234</v>
      </c>
      <c r="AF8" s="164">
        <f>_xlfn.IFNA(INDEX('PGM Values'!$D$9:$D$17,MATCH('Raw Forecasting NPS Data'!$C8,'PGM Values'!$B$9:$B$17,0)),0)</f>
        <v>11542</v>
      </c>
      <c r="AG8" s="129">
        <f>_xlfn.IFNA(INDEX('PGM Values'!$C$9:$C$17,MATCH('Raw Forecasting NPS Data'!$C8,'PGM Values'!$B$9:$B$17,0)),0)</f>
        <v>11542</v>
      </c>
      <c r="AH8" s="129">
        <f t="shared" si="5"/>
        <v>102522692.22567175</v>
      </c>
      <c r="AI8" s="165">
        <f t="shared" si="6"/>
        <v>102522692.22567175</v>
      </c>
    </row>
    <row r="9" spans="2:35" x14ac:dyDescent="0.35">
      <c r="C9" s="180" t="str">
        <f>INDEX('Finance to Brand Mapping'!$D$7:$D$100,MATCH('Raw Forecasting NPS Data'!$I9,'Finance to Brand Mapping'!$C$7:$C$100,0))</f>
        <v>Keytruda</v>
      </c>
      <c r="D9" s="138" t="s">
        <v>33</v>
      </c>
      <c r="E9" s="22" t="s">
        <v>43</v>
      </c>
      <c r="F9" s="22" t="s">
        <v>44</v>
      </c>
      <c r="G9" s="22" t="s">
        <v>25</v>
      </c>
      <c r="H9" s="22" t="s">
        <v>45</v>
      </c>
      <c r="I9" s="22" t="s">
        <v>346</v>
      </c>
      <c r="J9" s="22" t="s">
        <v>28</v>
      </c>
      <c r="K9" s="125">
        <v>598.07523200000003</v>
      </c>
      <c r="L9" s="125">
        <v>278.97141499999998</v>
      </c>
      <c r="M9" s="125">
        <v>198.91956500000001</v>
      </c>
      <c r="N9" s="125">
        <v>167.04323399999998</v>
      </c>
      <c r="O9" s="125">
        <v>132.834012</v>
      </c>
      <c r="P9" s="125">
        <v>7.1687141700000003</v>
      </c>
      <c r="Q9" s="126">
        <v>43263</v>
      </c>
      <c r="R9" s="22" t="s">
        <v>46</v>
      </c>
      <c r="S9" s="22" t="s">
        <v>41</v>
      </c>
      <c r="T9" s="22" t="s">
        <v>47</v>
      </c>
      <c r="U9" s="22" t="s">
        <v>47</v>
      </c>
      <c r="V9" s="128">
        <v>1999.8663357354505</v>
      </c>
      <c r="W9" s="128">
        <v>1425.9975043057361</v>
      </c>
      <c r="X9" s="128">
        <v>1197.4851985784258</v>
      </c>
      <c r="Y9" s="127">
        <v>0.3</v>
      </c>
      <c r="Z9" s="127">
        <v>0.3</v>
      </c>
      <c r="AA9" s="128">
        <v>599.95990072063512</v>
      </c>
      <c r="AB9" s="128">
        <v>427.79925129172085</v>
      </c>
      <c r="AC9" s="127">
        <v>0.65</v>
      </c>
      <c r="AD9" s="127">
        <v>0.35</v>
      </c>
      <c r="AE9" s="160">
        <v>539.70367342051509</v>
      </c>
      <c r="AF9" s="164">
        <f>_xlfn.IFNA(INDEX('PGM Values'!$D$9:$D$17,MATCH('Raw Forecasting NPS Data'!$C9,'PGM Values'!$B$9:$B$17,0)),0)</f>
        <v>11542</v>
      </c>
      <c r="AG9" s="129">
        <f>_xlfn.IFNA(INDEX('PGM Values'!$C$9:$C$17,MATCH('Raw Forecasting NPS Data'!$C9,'PGM Values'!$B$9:$B$17,0)),0)</f>
        <v>11542</v>
      </c>
      <c r="AH9" s="129">
        <f t="shared" si="5"/>
        <v>6229259.7986195851</v>
      </c>
      <c r="AI9" s="165">
        <f t="shared" si="6"/>
        <v>6229259.7986195851</v>
      </c>
    </row>
    <row r="10" spans="2:35" x14ac:dyDescent="0.35">
      <c r="C10" s="180" t="str">
        <f>INDEX('Finance to Brand Mapping'!$D$7:$D$100,MATCH('Raw Forecasting NPS Data'!$I10,'Finance to Brand Mapping'!$C$7:$C$100,0))</f>
        <v>New Product</v>
      </c>
      <c r="D10" s="138" t="s">
        <v>48</v>
      </c>
      <c r="E10" s="22" t="s">
        <v>49</v>
      </c>
      <c r="F10" s="22" t="s">
        <v>50</v>
      </c>
      <c r="G10" s="22" t="s">
        <v>25</v>
      </c>
      <c r="H10" s="22" t="s">
        <v>51</v>
      </c>
      <c r="I10" s="22" t="s">
        <v>52</v>
      </c>
      <c r="J10" s="22" t="s">
        <v>28</v>
      </c>
      <c r="K10" s="125">
        <v>0</v>
      </c>
      <c r="L10" s="125">
        <v>409.93492500000002</v>
      </c>
      <c r="M10" s="125">
        <v>1989.5487880000001</v>
      </c>
      <c r="N10" s="125">
        <v>2120.7704229999999</v>
      </c>
      <c r="O10" s="125">
        <v>2114.51793</v>
      </c>
      <c r="P10" s="125">
        <v>2.4181598169999901</v>
      </c>
      <c r="Q10" s="126">
        <v>45444</v>
      </c>
      <c r="R10" s="22" t="s">
        <v>53</v>
      </c>
      <c r="S10" s="22">
        <v>24</v>
      </c>
      <c r="T10" s="22" t="s">
        <v>30</v>
      </c>
      <c r="U10" s="22" t="s">
        <v>31</v>
      </c>
      <c r="V10" s="128">
        <v>991.28816321990473</v>
      </c>
      <c r="W10" s="128">
        <v>4811.0469331026325</v>
      </c>
      <c r="X10" s="128">
        <v>5128.3618179806717</v>
      </c>
      <c r="Y10" s="127">
        <v>1</v>
      </c>
      <c r="Z10" s="127">
        <v>1</v>
      </c>
      <c r="AA10" s="128">
        <v>991.28816321990473</v>
      </c>
      <c r="AB10" s="128">
        <v>4811.0469331026325</v>
      </c>
      <c r="AC10" s="127">
        <v>0.35</v>
      </c>
      <c r="AD10" s="127">
        <v>0.65</v>
      </c>
      <c r="AE10" s="160">
        <v>3474.131363643678</v>
      </c>
      <c r="AF10" s="164">
        <f>_xlfn.IFNA(INDEX('PGM Values'!$D$9:$D$17,MATCH('Raw Forecasting NPS Data'!$C10,'PGM Values'!$B$9:$B$17,0)),0)</f>
        <v>0</v>
      </c>
      <c r="AG10" s="129">
        <f>_xlfn.IFNA(INDEX('PGM Values'!$C$9:$C$17,MATCH('Raw Forecasting NPS Data'!$C10,'PGM Values'!$B$9:$B$17,0)),0)</f>
        <v>0</v>
      </c>
      <c r="AH10" s="129">
        <f t="shared" si="5"/>
        <v>0</v>
      </c>
      <c r="AI10" s="165">
        <f t="shared" si="6"/>
        <v>0</v>
      </c>
    </row>
    <row r="11" spans="2:35" x14ac:dyDescent="0.35">
      <c r="C11" s="180" t="str">
        <f>INDEX('Finance to Brand Mapping'!$D$7:$D$100,MATCH('Raw Forecasting NPS Data'!$I11,'Finance to Brand Mapping'!$C$7:$C$100,0))</f>
        <v>Keytruda</v>
      </c>
      <c r="D11" s="138" t="s">
        <v>48</v>
      </c>
      <c r="E11" s="22" t="s">
        <v>43</v>
      </c>
      <c r="F11" s="22" t="s">
        <v>24</v>
      </c>
      <c r="G11" s="22" t="s">
        <v>25</v>
      </c>
      <c r="H11" s="22" t="s">
        <v>54</v>
      </c>
      <c r="I11" s="22" t="s">
        <v>55</v>
      </c>
      <c r="J11" s="22" t="s">
        <v>28</v>
      </c>
      <c r="K11" s="125">
        <v>2589.7690780000003</v>
      </c>
      <c r="L11" s="125">
        <v>2289.5151990000004</v>
      </c>
      <c r="M11" s="125">
        <v>1981.3763310000002</v>
      </c>
      <c r="N11" s="125">
        <v>1774.5671070000001</v>
      </c>
      <c r="O11" s="125">
        <v>1422.0269819999999</v>
      </c>
      <c r="P11" s="125">
        <v>9.6336424770000004</v>
      </c>
      <c r="Q11" s="126">
        <v>43101</v>
      </c>
      <c r="R11" s="22" t="s">
        <v>56</v>
      </c>
      <c r="S11" s="22" t="s">
        <v>41</v>
      </c>
      <c r="T11" s="22" t="s">
        <v>57</v>
      </c>
      <c r="U11" s="22" t="s">
        <v>47</v>
      </c>
      <c r="V11" s="128">
        <v>22056.370872823514</v>
      </c>
      <c r="W11" s="128">
        <v>19087.871185244014</v>
      </c>
      <c r="X11" s="128">
        <v>17095.545060282206</v>
      </c>
      <c r="Y11" s="127">
        <v>0.3</v>
      </c>
      <c r="Z11" s="127">
        <v>0.3</v>
      </c>
      <c r="AA11" s="128">
        <v>6616.9112618470544</v>
      </c>
      <c r="AB11" s="128">
        <v>5726.3613555732036</v>
      </c>
      <c r="AC11" s="127">
        <v>0.65</v>
      </c>
      <c r="AD11" s="127">
        <v>0.35</v>
      </c>
      <c r="AE11" s="160">
        <v>6305.2187946512067</v>
      </c>
      <c r="AF11" s="164">
        <f>_xlfn.IFNA(INDEX('PGM Values'!$D$9:$D$17,MATCH('Raw Forecasting NPS Data'!$C11,'PGM Values'!$B$9:$B$17,0)),0)</f>
        <v>11542</v>
      </c>
      <c r="AG11" s="129">
        <f>_xlfn.IFNA(INDEX('PGM Values'!$C$9:$C$17,MATCH('Raw Forecasting NPS Data'!$C11,'PGM Values'!$B$9:$B$17,0)),0)</f>
        <v>11542</v>
      </c>
      <c r="AH11" s="129">
        <f t="shared" si="5"/>
        <v>72774835.32786423</v>
      </c>
      <c r="AI11" s="165">
        <f t="shared" si="6"/>
        <v>72774835.32786423</v>
      </c>
    </row>
    <row r="12" spans="2:35" x14ac:dyDescent="0.35">
      <c r="C12" s="180" t="str">
        <f>INDEX('Finance to Brand Mapping'!$D$7:$D$100,MATCH('Raw Forecasting NPS Data'!$I12,'Finance to Brand Mapping'!$C$7:$C$100,0))</f>
        <v>Keytruda</v>
      </c>
      <c r="D12" s="138" t="s">
        <v>48</v>
      </c>
      <c r="E12" s="22" t="s">
        <v>43</v>
      </c>
      <c r="F12" s="22" t="s">
        <v>44</v>
      </c>
      <c r="G12" s="22" t="s">
        <v>25</v>
      </c>
      <c r="H12" s="22" t="s">
        <v>58</v>
      </c>
      <c r="I12" s="22" t="s">
        <v>59</v>
      </c>
      <c r="J12" s="22" t="s">
        <v>28</v>
      </c>
      <c r="K12" s="125">
        <v>1062.8828559999999</v>
      </c>
      <c r="L12" s="125">
        <v>1100.806431</v>
      </c>
      <c r="M12" s="125">
        <v>1101.6099360000001</v>
      </c>
      <c r="N12" s="125">
        <v>992.03858600000012</v>
      </c>
      <c r="O12" s="125">
        <v>795.07719799999995</v>
      </c>
      <c r="P12" s="125">
        <v>8.8307432539999997</v>
      </c>
      <c r="Q12" s="126">
        <v>43101</v>
      </c>
      <c r="R12" s="22" t="s">
        <v>60</v>
      </c>
      <c r="S12" s="22" t="s">
        <v>41</v>
      </c>
      <c r="T12" s="22" t="s">
        <v>57</v>
      </c>
      <c r="U12" s="22" t="s">
        <v>47</v>
      </c>
      <c r="V12" s="128">
        <v>9720.9389645130668</v>
      </c>
      <c r="W12" s="128">
        <v>9728.0345108713718</v>
      </c>
      <c r="X12" s="128">
        <v>8760.4380510272003</v>
      </c>
      <c r="Y12" s="127">
        <v>0.3</v>
      </c>
      <c r="Z12" s="127">
        <v>0.3</v>
      </c>
      <c r="AA12" s="128">
        <v>2916.2816893539198</v>
      </c>
      <c r="AB12" s="128">
        <v>2918.4103532614113</v>
      </c>
      <c r="AC12" s="127">
        <v>0.65</v>
      </c>
      <c r="AD12" s="127">
        <v>0.35</v>
      </c>
      <c r="AE12" s="160">
        <v>2917.0267217215419</v>
      </c>
      <c r="AF12" s="164">
        <f>_xlfn.IFNA(INDEX('PGM Values'!$D$9:$D$17,MATCH('Raw Forecasting NPS Data'!$C12,'PGM Values'!$B$9:$B$17,0)),0)</f>
        <v>11542</v>
      </c>
      <c r="AG12" s="129">
        <f>_xlfn.IFNA(INDEX('PGM Values'!$C$9:$C$17,MATCH('Raw Forecasting NPS Data'!$C12,'PGM Values'!$B$9:$B$17,0)),0)</f>
        <v>11542</v>
      </c>
      <c r="AH12" s="129">
        <f t="shared" si="5"/>
        <v>33668322.422110036</v>
      </c>
      <c r="AI12" s="165">
        <f t="shared" si="6"/>
        <v>33668322.422110036</v>
      </c>
    </row>
    <row r="13" spans="2:35" x14ac:dyDescent="0.35">
      <c r="C13" s="180" t="str">
        <f>INDEX('Finance to Brand Mapping'!$D$7:$D$100,MATCH('Raw Forecasting NPS Data'!$I13,'Finance to Brand Mapping'!$C$7:$C$100,0))</f>
        <v>Keytruda</v>
      </c>
      <c r="D13" s="138" t="s">
        <v>48</v>
      </c>
      <c r="E13" s="22" t="s">
        <v>43</v>
      </c>
      <c r="F13" s="22" t="s">
        <v>50</v>
      </c>
      <c r="G13" s="22" t="s">
        <v>25</v>
      </c>
      <c r="H13" s="22" t="s">
        <v>61</v>
      </c>
      <c r="I13" s="22" t="s">
        <v>59</v>
      </c>
      <c r="J13" s="22" t="s">
        <v>28</v>
      </c>
      <c r="K13" s="125">
        <v>1224.8603169999999</v>
      </c>
      <c r="L13" s="125">
        <v>1227.4023376660002</v>
      </c>
      <c r="M13" s="125">
        <v>1236.4846889999999</v>
      </c>
      <c r="N13" s="125">
        <v>1082.845851</v>
      </c>
      <c r="O13" s="125">
        <v>903.779357</v>
      </c>
      <c r="P13" s="125">
        <v>8.8307432539999997</v>
      </c>
      <c r="Q13" s="126">
        <v>43101</v>
      </c>
      <c r="R13" s="22" t="s">
        <v>60</v>
      </c>
      <c r="S13" s="22" t="s">
        <v>41</v>
      </c>
      <c r="T13" s="22" t="s">
        <v>57</v>
      </c>
      <c r="U13" s="22" t="s">
        <v>47</v>
      </c>
      <c r="V13" s="128">
        <v>10838.874913287862</v>
      </c>
      <c r="W13" s="128">
        <v>10919.078826061037</v>
      </c>
      <c r="X13" s="128">
        <v>9562.3336938401389</v>
      </c>
      <c r="Y13" s="127">
        <v>0.3</v>
      </c>
      <c r="Z13" s="127">
        <v>0.3</v>
      </c>
      <c r="AA13" s="128">
        <v>3251.6624739863587</v>
      </c>
      <c r="AB13" s="128">
        <v>3275.7236478183108</v>
      </c>
      <c r="AC13" s="127">
        <v>0.65</v>
      </c>
      <c r="AD13" s="127">
        <v>0.35</v>
      </c>
      <c r="AE13" s="160">
        <v>3260.0838848275421</v>
      </c>
      <c r="AF13" s="164">
        <f>_xlfn.IFNA(INDEX('PGM Values'!$D$9:$D$17,MATCH('Raw Forecasting NPS Data'!$C13,'PGM Values'!$B$9:$B$17,0)),0)</f>
        <v>11542</v>
      </c>
      <c r="AG13" s="129">
        <f>_xlfn.IFNA(INDEX('PGM Values'!$C$9:$C$17,MATCH('Raw Forecasting NPS Data'!$C13,'PGM Values'!$B$9:$B$17,0)),0)</f>
        <v>11542</v>
      </c>
      <c r="AH13" s="129">
        <f t="shared" si="5"/>
        <v>37627888.198679492</v>
      </c>
      <c r="AI13" s="165">
        <f t="shared" si="6"/>
        <v>37627888.198679492</v>
      </c>
    </row>
    <row r="14" spans="2:35" x14ac:dyDescent="0.35">
      <c r="C14" s="180" t="str">
        <f>INDEX('Finance to Brand Mapping'!$D$7:$D$100,MATCH('Raw Forecasting NPS Data'!$I14,'Finance to Brand Mapping'!$C$7:$C$100,0))</f>
        <v>Keytruda</v>
      </c>
      <c r="D14" s="138" t="s">
        <v>62</v>
      </c>
      <c r="E14" s="22" t="s">
        <v>43</v>
      </c>
      <c r="F14" s="22" t="s">
        <v>24</v>
      </c>
      <c r="G14" s="22" t="s">
        <v>25</v>
      </c>
      <c r="H14" s="22" t="s">
        <v>63</v>
      </c>
      <c r="I14" s="22" t="s">
        <v>64</v>
      </c>
      <c r="J14" s="22" t="s">
        <v>28</v>
      </c>
      <c r="K14" s="125">
        <v>1319.7863280000001</v>
      </c>
      <c r="L14" s="125">
        <v>1319.7863280000001</v>
      </c>
      <c r="M14" s="125">
        <v>1319.7863280000001</v>
      </c>
      <c r="N14" s="125">
        <v>1189.6566899999998</v>
      </c>
      <c r="O14" s="125">
        <v>955.78835700000002</v>
      </c>
      <c r="P14" s="125">
        <v>8.11</v>
      </c>
      <c r="Q14" s="126">
        <v>43984</v>
      </c>
      <c r="R14" s="22" t="s">
        <v>65</v>
      </c>
      <c r="S14" s="22" t="s">
        <v>41</v>
      </c>
      <c r="T14" s="22" t="s">
        <v>47</v>
      </c>
      <c r="U14" s="22" t="s">
        <v>47</v>
      </c>
      <c r="V14" s="128">
        <v>10703.46712008</v>
      </c>
      <c r="W14" s="128">
        <v>10703.46712008</v>
      </c>
      <c r="X14" s="128">
        <v>9648.1157558999985</v>
      </c>
      <c r="Y14" s="127">
        <v>0.3</v>
      </c>
      <c r="Z14" s="127">
        <v>0.3</v>
      </c>
      <c r="AA14" s="128">
        <v>3211.0401360239998</v>
      </c>
      <c r="AB14" s="128">
        <v>3211.0401360239998</v>
      </c>
      <c r="AC14" s="127">
        <v>0.65</v>
      </c>
      <c r="AD14" s="127">
        <v>0.35</v>
      </c>
      <c r="AE14" s="160">
        <v>3211.0401360240003</v>
      </c>
      <c r="AF14" s="164">
        <f>_xlfn.IFNA(INDEX('PGM Values'!$D$9:$D$17,MATCH('Raw Forecasting NPS Data'!$C14,'PGM Values'!$B$9:$B$17,0)),0)</f>
        <v>11542</v>
      </c>
      <c r="AG14" s="129">
        <f>_xlfn.IFNA(INDEX('PGM Values'!$C$9:$C$17,MATCH('Raw Forecasting NPS Data'!$C14,'PGM Values'!$B$9:$B$17,0)),0)</f>
        <v>11542</v>
      </c>
      <c r="AH14" s="129">
        <f t="shared" si="5"/>
        <v>37061825.24998901</v>
      </c>
      <c r="AI14" s="165">
        <f t="shared" si="6"/>
        <v>37061825.24998901</v>
      </c>
    </row>
    <row r="15" spans="2:35" x14ac:dyDescent="0.35">
      <c r="C15" s="180" t="str">
        <f>INDEX('Finance to Brand Mapping'!$D$7:$D$100,MATCH('Raw Forecasting NPS Data'!$I15,'Finance to Brand Mapping'!$C$7:$C$100,0))</f>
        <v>Keytruda</v>
      </c>
      <c r="D15" s="138" t="s">
        <v>62</v>
      </c>
      <c r="E15" s="22" t="s">
        <v>43</v>
      </c>
      <c r="F15" s="22" t="s">
        <v>44</v>
      </c>
      <c r="G15" s="22" t="s">
        <v>25</v>
      </c>
      <c r="H15" s="22" t="s">
        <v>66</v>
      </c>
      <c r="I15" s="22" t="s">
        <v>64</v>
      </c>
      <c r="J15" s="22" t="s">
        <v>28</v>
      </c>
      <c r="K15" s="125">
        <v>0</v>
      </c>
      <c r="L15" s="125">
        <v>0</v>
      </c>
      <c r="M15" s="125">
        <v>0</v>
      </c>
      <c r="N15" s="125">
        <v>836.94179499999996</v>
      </c>
      <c r="O15" s="125">
        <v>1118.8996349999998</v>
      </c>
      <c r="P15" s="125">
        <v>8.11</v>
      </c>
      <c r="Q15" s="126">
        <v>43984</v>
      </c>
      <c r="R15" s="22" t="s">
        <v>65</v>
      </c>
      <c r="S15" s="22" t="s">
        <v>41</v>
      </c>
      <c r="T15" s="22" t="s">
        <v>47</v>
      </c>
      <c r="U15" s="22" t="s">
        <v>47</v>
      </c>
      <c r="V15" s="128">
        <v>0</v>
      </c>
      <c r="W15" s="128">
        <v>0</v>
      </c>
      <c r="X15" s="128">
        <v>6787.5979574499988</v>
      </c>
      <c r="Y15" s="127">
        <v>0.3</v>
      </c>
      <c r="Z15" s="127">
        <v>0.3</v>
      </c>
      <c r="AA15" s="128">
        <v>0</v>
      </c>
      <c r="AB15" s="128">
        <v>0</v>
      </c>
      <c r="AC15" s="127">
        <v>0.65</v>
      </c>
      <c r="AD15" s="127">
        <v>0.35</v>
      </c>
      <c r="AE15" s="160">
        <v>0</v>
      </c>
      <c r="AF15" s="164">
        <f>_xlfn.IFNA(INDEX('PGM Values'!$D$9:$D$17,MATCH('Raw Forecasting NPS Data'!$C15,'PGM Values'!$B$9:$B$17,0)),0)</f>
        <v>11542</v>
      </c>
      <c r="AG15" s="129">
        <f>_xlfn.IFNA(INDEX('PGM Values'!$C$9:$C$17,MATCH('Raw Forecasting NPS Data'!$C15,'PGM Values'!$B$9:$B$17,0)),0)</f>
        <v>11542</v>
      </c>
      <c r="AH15" s="129">
        <f t="shared" si="5"/>
        <v>0</v>
      </c>
      <c r="AI15" s="165">
        <f t="shared" si="6"/>
        <v>0</v>
      </c>
    </row>
    <row r="16" spans="2:35" x14ac:dyDescent="0.35">
      <c r="C16" s="180" t="str">
        <f>INDEX('Finance to Brand Mapping'!$D$7:$D$100,MATCH('Raw Forecasting NPS Data'!$I16,'Finance to Brand Mapping'!$C$7:$C$100,0))</f>
        <v>New Product</v>
      </c>
      <c r="D16" s="138" t="s">
        <v>67</v>
      </c>
      <c r="E16" s="22" t="s">
        <v>68</v>
      </c>
      <c r="F16" s="22" t="s">
        <v>50</v>
      </c>
      <c r="G16" s="22" t="s">
        <v>25</v>
      </c>
      <c r="H16" s="22" t="s">
        <v>69</v>
      </c>
      <c r="I16" s="22" t="s">
        <v>70</v>
      </c>
      <c r="J16" s="22" t="s">
        <v>28</v>
      </c>
      <c r="K16" s="125"/>
      <c r="L16" s="125"/>
      <c r="M16" s="125"/>
      <c r="N16" s="125"/>
      <c r="O16" s="125"/>
      <c r="P16" s="125"/>
      <c r="Q16" s="126"/>
      <c r="R16" s="22" t="s">
        <v>71</v>
      </c>
      <c r="S16" s="22" t="s">
        <v>41</v>
      </c>
      <c r="T16" s="22" t="s">
        <v>72</v>
      </c>
      <c r="U16" s="22" t="s">
        <v>73</v>
      </c>
      <c r="V16" s="128">
        <v>0</v>
      </c>
      <c r="W16" s="128">
        <v>0</v>
      </c>
      <c r="X16" s="128">
        <v>0</v>
      </c>
      <c r="Y16" s="127">
        <v>1</v>
      </c>
      <c r="Z16" s="127">
        <v>1</v>
      </c>
      <c r="AA16" s="128">
        <v>0</v>
      </c>
      <c r="AB16" s="128">
        <v>0</v>
      </c>
      <c r="AC16" s="127">
        <v>0</v>
      </c>
      <c r="AD16" s="127">
        <v>0.7</v>
      </c>
      <c r="AE16" s="160">
        <v>0</v>
      </c>
      <c r="AF16" s="164">
        <f>_xlfn.IFNA(INDEX('PGM Values'!$D$9:$D$17,MATCH('Raw Forecasting NPS Data'!$C16,'PGM Values'!$B$9:$B$17,0)),0)</f>
        <v>0</v>
      </c>
      <c r="AG16" s="129">
        <f>_xlfn.IFNA(INDEX('PGM Values'!$C$9:$C$17,MATCH('Raw Forecasting NPS Data'!$C16,'PGM Values'!$B$9:$B$17,0)),0)</f>
        <v>0</v>
      </c>
      <c r="AH16" s="129">
        <f t="shared" si="5"/>
        <v>0</v>
      </c>
      <c r="AI16" s="165">
        <f t="shared" si="6"/>
        <v>0</v>
      </c>
    </row>
    <row r="17" spans="3:35" x14ac:dyDescent="0.35">
      <c r="C17" s="180" t="str">
        <f>INDEX('Finance to Brand Mapping'!$D$7:$D$100,MATCH('Raw Forecasting NPS Data'!$I17,'Finance to Brand Mapping'!$C$7:$C$100,0))</f>
        <v>Keytruda</v>
      </c>
      <c r="D17" s="138" t="s">
        <v>74</v>
      </c>
      <c r="E17" s="22" t="s">
        <v>75</v>
      </c>
      <c r="F17" s="22" t="s">
        <v>24</v>
      </c>
      <c r="G17" s="22" t="s">
        <v>25</v>
      </c>
      <c r="H17" s="22" t="s">
        <v>76</v>
      </c>
      <c r="I17" s="22" t="s">
        <v>77</v>
      </c>
      <c r="J17" s="22" t="s">
        <v>28</v>
      </c>
      <c r="K17" s="125">
        <v>24.80519</v>
      </c>
      <c r="L17" s="125">
        <v>388.55628000000002</v>
      </c>
      <c r="M17" s="125">
        <v>1516.342662</v>
      </c>
      <c r="N17" s="125">
        <v>1623.93463</v>
      </c>
      <c r="O17" s="125">
        <v>1333.9491760000001</v>
      </c>
      <c r="P17" s="125">
        <v>9.2605670569999994</v>
      </c>
      <c r="Q17" s="126">
        <v>45140</v>
      </c>
      <c r="R17" s="22" t="s">
        <v>78</v>
      </c>
      <c r="S17" s="22" t="s">
        <v>41</v>
      </c>
      <c r="T17" s="22" t="s">
        <v>79</v>
      </c>
      <c r="U17" s="22" t="s">
        <v>80</v>
      </c>
      <c r="V17" s="128">
        <v>3598.2514863584679</v>
      </c>
      <c r="W17" s="128">
        <v>14042.192902840885</v>
      </c>
      <c r="X17" s="128">
        <v>15038.555537299482</v>
      </c>
      <c r="Y17" s="127">
        <v>1</v>
      </c>
      <c r="Z17" s="127">
        <v>0.8</v>
      </c>
      <c r="AA17" s="128">
        <v>3598.2514863584679</v>
      </c>
      <c r="AB17" s="128">
        <v>11233.754322272709</v>
      </c>
      <c r="AC17" s="127">
        <v>0.65</v>
      </c>
      <c r="AD17" s="127">
        <v>0.35</v>
      </c>
      <c r="AE17" s="160">
        <v>6270.6774789284518</v>
      </c>
      <c r="AF17" s="164">
        <f>_xlfn.IFNA(INDEX('PGM Values'!$D$9:$D$17,MATCH('Raw Forecasting NPS Data'!$C17,'PGM Values'!$B$9:$B$17,0)),0)</f>
        <v>11542</v>
      </c>
      <c r="AG17" s="129">
        <f>_xlfn.IFNA(INDEX('PGM Values'!$C$9:$C$17,MATCH('Raw Forecasting NPS Data'!$C17,'PGM Values'!$B$9:$B$17,0)),0)</f>
        <v>11542</v>
      </c>
      <c r="AH17" s="129">
        <f t="shared" si="5"/>
        <v>72376159.461792186</v>
      </c>
      <c r="AI17" s="165">
        <f t="shared" si="6"/>
        <v>72376159.461792186</v>
      </c>
    </row>
    <row r="18" spans="3:35" x14ac:dyDescent="0.35">
      <c r="C18" s="180" t="str">
        <f>INDEX('Finance to Brand Mapping'!$D$7:$D$100,MATCH('Raw Forecasting NPS Data'!$I18,'Finance to Brand Mapping'!$C$7:$C$100,0))</f>
        <v>Keytruda</v>
      </c>
      <c r="D18" s="138" t="s">
        <v>74</v>
      </c>
      <c r="E18" s="22" t="s">
        <v>75</v>
      </c>
      <c r="F18" s="22" t="s">
        <v>81</v>
      </c>
      <c r="G18" s="22" t="s">
        <v>25</v>
      </c>
      <c r="H18" s="22" t="s">
        <v>82</v>
      </c>
      <c r="I18" s="22" t="s">
        <v>347</v>
      </c>
      <c r="J18" s="22" t="s">
        <v>28</v>
      </c>
      <c r="K18" s="125">
        <v>0</v>
      </c>
      <c r="L18" s="125">
        <v>723.09588600000006</v>
      </c>
      <c r="M18" s="125">
        <v>9012.6541959999995</v>
      </c>
      <c r="N18" s="125">
        <v>10749.410552999998</v>
      </c>
      <c r="O18" s="125">
        <v>9178.3413920000003</v>
      </c>
      <c r="P18" s="125">
        <v>8.9600000000000009</v>
      </c>
      <c r="Q18" s="126">
        <v>45506</v>
      </c>
      <c r="R18" s="22" t="s">
        <v>83</v>
      </c>
      <c r="S18" s="22">
        <v>24</v>
      </c>
      <c r="T18" s="22" t="s">
        <v>30</v>
      </c>
      <c r="U18" s="22" t="s">
        <v>31</v>
      </c>
      <c r="V18" s="128">
        <v>6478.9391385600011</v>
      </c>
      <c r="W18" s="128">
        <v>80753.381596160005</v>
      </c>
      <c r="X18" s="128">
        <v>96314.71855487999</v>
      </c>
      <c r="Y18" s="127">
        <v>1</v>
      </c>
      <c r="Z18" s="127">
        <v>1</v>
      </c>
      <c r="AA18" s="128">
        <v>6478.9391385600011</v>
      </c>
      <c r="AB18" s="128">
        <v>80753.381596160005</v>
      </c>
      <c r="AC18" s="127">
        <v>0.25</v>
      </c>
      <c r="AD18" s="127">
        <v>0.75</v>
      </c>
      <c r="AE18" s="160">
        <v>62184.770981760004</v>
      </c>
      <c r="AF18" s="164">
        <f>_xlfn.IFNA(INDEX('PGM Values'!$D$9:$D$17,MATCH('Raw Forecasting NPS Data'!$C18,'PGM Values'!$B$9:$B$17,0)),0)</f>
        <v>11542</v>
      </c>
      <c r="AG18" s="129">
        <f>_xlfn.IFNA(INDEX('PGM Values'!$C$9:$C$17,MATCH('Raw Forecasting NPS Data'!$C18,'PGM Values'!$B$9:$B$17,0)),0)</f>
        <v>11542</v>
      </c>
      <c r="AH18" s="129">
        <f t="shared" si="5"/>
        <v>717736626.67147398</v>
      </c>
      <c r="AI18" s="165">
        <f t="shared" si="6"/>
        <v>717736626.67147398</v>
      </c>
    </row>
    <row r="19" spans="3:35" x14ac:dyDescent="0.35">
      <c r="C19" s="180" t="str">
        <f>INDEX('Finance to Brand Mapping'!$D$7:$D$100,MATCH('Raw Forecasting NPS Data'!$I19,'Finance to Brand Mapping'!$C$7:$C$100,0))</f>
        <v>Keytruda-Lenvima</v>
      </c>
      <c r="D19" s="138" t="s">
        <v>74</v>
      </c>
      <c r="E19" s="22" t="s">
        <v>84</v>
      </c>
      <c r="F19" s="22" t="s">
        <v>24</v>
      </c>
      <c r="G19" s="22" t="s">
        <v>25</v>
      </c>
      <c r="H19" s="22" t="s">
        <v>85</v>
      </c>
      <c r="I19" s="22" t="s">
        <v>86</v>
      </c>
      <c r="J19" s="22" t="s">
        <v>28</v>
      </c>
      <c r="K19" s="125">
        <v>1434.1923999999999</v>
      </c>
      <c r="L19" s="125">
        <v>1796.456758</v>
      </c>
      <c r="M19" s="125">
        <v>1222.0489400000001</v>
      </c>
      <c r="N19" s="125">
        <v>948.29877199999999</v>
      </c>
      <c r="O19" s="125">
        <v>746.54472499999986</v>
      </c>
      <c r="P19" s="125">
        <v>9.1043635550000008</v>
      </c>
      <c r="Q19" s="126">
        <v>43313</v>
      </c>
      <c r="R19" s="22" t="s">
        <v>87</v>
      </c>
      <c r="S19" s="22" t="s">
        <v>41</v>
      </c>
      <c r="T19" s="22" t="s">
        <v>47</v>
      </c>
      <c r="U19" s="22" t="s">
        <v>47</v>
      </c>
      <c r="V19" s="128">
        <v>16355.595435668656</v>
      </c>
      <c r="W19" s="128">
        <v>11125.977831762384</v>
      </c>
      <c r="X19" s="128">
        <v>8633.6567790480549</v>
      </c>
      <c r="Y19" s="127">
        <v>0.3</v>
      </c>
      <c r="Z19" s="127">
        <v>0.3</v>
      </c>
      <c r="AA19" s="128">
        <v>4906.6786307005968</v>
      </c>
      <c r="AB19" s="128">
        <v>3337.7933495287152</v>
      </c>
      <c r="AC19" s="127">
        <v>0.65</v>
      </c>
      <c r="AD19" s="127">
        <v>0.35</v>
      </c>
      <c r="AE19" s="160">
        <v>4357.5687822904383</v>
      </c>
      <c r="AF19" s="164">
        <f>_xlfn.IFNA(INDEX('PGM Values'!$D$9:$D$17,MATCH('Raw Forecasting NPS Data'!$C19,'PGM Values'!$B$9:$B$17,0)),0)</f>
        <v>26793</v>
      </c>
      <c r="AG19" s="129">
        <f>_xlfn.IFNA(INDEX('PGM Values'!$C$9:$C$17,MATCH('Raw Forecasting NPS Data'!$C19,'PGM Values'!$B$9:$B$17,0)),0)</f>
        <v>19167.5</v>
      </c>
      <c r="AH19" s="129">
        <f t="shared" si="5"/>
        <v>116752340.38390772</v>
      </c>
      <c r="AI19" s="165">
        <f t="shared" si="6"/>
        <v>83523699.634551972</v>
      </c>
    </row>
    <row r="20" spans="3:35" x14ac:dyDescent="0.35">
      <c r="C20" s="180" t="str">
        <f>INDEX('Finance to Brand Mapping'!$D$7:$D$100,MATCH('Raw Forecasting NPS Data'!$I20,'Finance to Brand Mapping'!$C$7:$C$100,0))</f>
        <v>Keytruda-Lenvima</v>
      </c>
      <c r="D20" s="138" t="s">
        <v>74</v>
      </c>
      <c r="E20" s="22" t="s">
        <v>84</v>
      </c>
      <c r="F20" s="22" t="s">
        <v>44</v>
      </c>
      <c r="G20" s="22" t="s">
        <v>25</v>
      </c>
      <c r="H20" s="22" t="s">
        <v>88</v>
      </c>
      <c r="I20" s="22" t="s">
        <v>86</v>
      </c>
      <c r="J20" s="22" t="s">
        <v>28</v>
      </c>
      <c r="K20" s="125">
        <v>2806.69301</v>
      </c>
      <c r="L20" s="125">
        <v>2781.3121299999998</v>
      </c>
      <c r="M20" s="125">
        <v>2594.0738419999998</v>
      </c>
      <c r="N20" s="125">
        <v>2167.857798</v>
      </c>
      <c r="O20" s="125">
        <v>1721.6055460000002</v>
      </c>
      <c r="P20" s="125">
        <v>8.7221001860000005</v>
      </c>
      <c r="Q20" s="126">
        <v>43466</v>
      </c>
      <c r="R20" s="22" t="s">
        <v>89</v>
      </c>
      <c r="S20" s="22" t="s">
        <v>41</v>
      </c>
      <c r="T20" s="22" t="s">
        <v>47</v>
      </c>
      <c r="U20" s="22" t="s">
        <v>47</v>
      </c>
      <c r="V20" s="128">
        <v>24258.883046397055</v>
      </c>
      <c r="W20" s="128">
        <v>22625.771939805934</v>
      </c>
      <c r="X20" s="128">
        <v>18908.272903157351</v>
      </c>
      <c r="Y20" s="127">
        <v>0.3</v>
      </c>
      <c r="Z20" s="127">
        <v>0.3</v>
      </c>
      <c r="AA20" s="128">
        <v>7277.6649139191168</v>
      </c>
      <c r="AB20" s="128">
        <v>6787.73158194178</v>
      </c>
      <c r="AC20" s="127">
        <v>0.65</v>
      </c>
      <c r="AD20" s="127">
        <v>0.35</v>
      </c>
      <c r="AE20" s="160">
        <v>7106.1882477270483</v>
      </c>
      <c r="AF20" s="164">
        <f>_xlfn.IFNA(INDEX('PGM Values'!$D$9:$D$17,MATCH('Raw Forecasting NPS Data'!$C20,'PGM Values'!$B$9:$B$17,0)),0)</f>
        <v>26793</v>
      </c>
      <c r="AG20" s="129">
        <f>_xlfn.IFNA(INDEX('PGM Values'!$C$9:$C$17,MATCH('Raw Forecasting NPS Data'!$C20,'PGM Values'!$B$9:$B$17,0)),0)</f>
        <v>19167.5</v>
      </c>
      <c r="AH20" s="129">
        <f t="shared" si="5"/>
        <v>190396101.72135082</v>
      </c>
      <c r="AI20" s="165">
        <f t="shared" si="6"/>
        <v>136207863.23830819</v>
      </c>
    </row>
    <row r="21" spans="3:35" x14ac:dyDescent="0.35">
      <c r="C21" s="180" t="str">
        <f>INDEX('Finance to Brand Mapping'!$D$7:$D$100,MATCH('Raw Forecasting NPS Data'!$I21,'Finance to Brand Mapping'!$C$7:$C$100,0))</f>
        <v>Keytruda-Lenvima</v>
      </c>
      <c r="D21" s="138" t="s">
        <v>74</v>
      </c>
      <c r="E21" s="22" t="s">
        <v>84</v>
      </c>
      <c r="F21" s="22" t="s">
        <v>81</v>
      </c>
      <c r="G21" s="22" t="s">
        <v>90</v>
      </c>
      <c r="H21" s="22" t="s">
        <v>91</v>
      </c>
      <c r="I21" s="22" t="s">
        <v>86</v>
      </c>
      <c r="J21" s="22" t="s">
        <v>28</v>
      </c>
      <c r="K21" s="125">
        <v>477.69228400000003</v>
      </c>
      <c r="L21" s="125">
        <v>479.36870100000004</v>
      </c>
      <c r="M21" s="125">
        <v>479.81089799999995</v>
      </c>
      <c r="N21" s="125">
        <v>479.941822</v>
      </c>
      <c r="O21" s="125">
        <v>479.98197100000004</v>
      </c>
      <c r="P21" s="125">
        <v>10.9</v>
      </c>
      <c r="Q21" s="126">
        <v>43466</v>
      </c>
      <c r="R21" s="22" t="s">
        <v>83</v>
      </c>
      <c r="S21" s="22" t="s">
        <v>41</v>
      </c>
      <c r="T21" s="22" t="s">
        <v>47</v>
      </c>
      <c r="U21" s="22" t="s">
        <v>47</v>
      </c>
      <c r="V21" s="128">
        <v>5225.1188409000006</v>
      </c>
      <c r="W21" s="128">
        <v>5229.9387882000001</v>
      </c>
      <c r="X21" s="128">
        <v>5231.3658598000002</v>
      </c>
      <c r="Y21" s="127">
        <v>0.3</v>
      </c>
      <c r="Z21" s="127">
        <v>0.3</v>
      </c>
      <c r="AA21" s="128">
        <v>1567.5356522700001</v>
      </c>
      <c r="AB21" s="128">
        <v>1568.9816364599999</v>
      </c>
      <c r="AC21" s="127">
        <v>0.65</v>
      </c>
      <c r="AD21" s="127">
        <v>0.35</v>
      </c>
      <c r="AE21" s="160">
        <v>1568.0417467365</v>
      </c>
      <c r="AF21" s="164">
        <f>_xlfn.IFNA(INDEX('PGM Values'!$D$9:$D$17,MATCH('Raw Forecasting NPS Data'!$C21,'PGM Values'!$B$9:$B$17,0)),0)</f>
        <v>26793</v>
      </c>
      <c r="AG21" s="129">
        <f>_xlfn.IFNA(INDEX('PGM Values'!$C$9:$C$17,MATCH('Raw Forecasting NPS Data'!$C21,'PGM Values'!$B$9:$B$17,0)),0)</f>
        <v>19167.5</v>
      </c>
      <c r="AH21" s="129">
        <f t="shared" si="5"/>
        <v>42012542.520311043</v>
      </c>
      <c r="AI21" s="165">
        <f t="shared" si="6"/>
        <v>30055440.180571865</v>
      </c>
    </row>
    <row r="22" spans="3:35" x14ac:dyDescent="0.35">
      <c r="C22" s="180" t="str">
        <f>INDEX('Finance to Brand Mapping'!$D$7:$D$100,MATCH('Raw Forecasting NPS Data'!$I22,'Finance to Brand Mapping'!$C$7:$C$100,0))</f>
        <v>Keytruda</v>
      </c>
      <c r="D22" s="138" t="s">
        <v>74</v>
      </c>
      <c r="E22" s="22" t="s">
        <v>43</v>
      </c>
      <c r="F22" s="22" t="s">
        <v>24</v>
      </c>
      <c r="G22" s="22" t="s">
        <v>25</v>
      </c>
      <c r="H22" s="22" t="s">
        <v>92</v>
      </c>
      <c r="I22" s="22" t="s">
        <v>93</v>
      </c>
      <c r="J22" s="22" t="s">
        <v>28</v>
      </c>
      <c r="K22" s="125">
        <v>496.76847699999996</v>
      </c>
      <c r="L22" s="125">
        <v>506.61750000000006</v>
      </c>
      <c r="M22" s="125">
        <v>391.17061200000006</v>
      </c>
      <c r="N22" s="125">
        <v>447.621714</v>
      </c>
      <c r="O22" s="125">
        <v>347.56141899999994</v>
      </c>
      <c r="P22" s="125">
        <v>8.942997879</v>
      </c>
      <c r="Q22" s="126">
        <v>43101</v>
      </c>
      <c r="R22" s="22" t="s">
        <v>94</v>
      </c>
      <c r="S22" s="22" t="s">
        <v>41</v>
      </c>
      <c r="T22" s="22" t="s">
        <v>57</v>
      </c>
      <c r="U22" s="22" t="s">
        <v>47</v>
      </c>
      <c r="V22" s="128">
        <v>4530.6792279642832</v>
      </c>
      <c r="W22" s="128">
        <v>3498.2379534431325</v>
      </c>
      <c r="X22" s="128">
        <v>4003.0800388963444</v>
      </c>
      <c r="Y22" s="127">
        <v>0.3</v>
      </c>
      <c r="Z22" s="127">
        <v>0.3</v>
      </c>
      <c r="AA22" s="128">
        <v>1359.203768389285</v>
      </c>
      <c r="AB22" s="128">
        <v>1049.4713860329398</v>
      </c>
      <c r="AC22" s="127">
        <v>0.65</v>
      </c>
      <c r="AD22" s="127">
        <v>0.35</v>
      </c>
      <c r="AE22" s="160">
        <v>1250.7974345645641</v>
      </c>
      <c r="AF22" s="164">
        <f>_xlfn.IFNA(INDEX('PGM Values'!$D$9:$D$17,MATCH('Raw Forecasting NPS Data'!$C22,'PGM Values'!$B$9:$B$17,0)),0)</f>
        <v>11542</v>
      </c>
      <c r="AG22" s="129">
        <f>_xlfn.IFNA(INDEX('PGM Values'!$C$9:$C$17,MATCH('Raw Forecasting NPS Data'!$C22,'PGM Values'!$B$9:$B$17,0)),0)</f>
        <v>11542</v>
      </c>
      <c r="AH22" s="129">
        <f t="shared" si="5"/>
        <v>14436703.989744199</v>
      </c>
      <c r="AI22" s="165">
        <f t="shared" si="6"/>
        <v>14436703.989744199</v>
      </c>
    </row>
    <row r="23" spans="3:35" x14ac:dyDescent="0.35">
      <c r="C23" s="180" t="str">
        <f>INDEX('Finance to Brand Mapping'!$D$7:$D$100,MATCH('Raw Forecasting NPS Data'!$I23,'Finance to Brand Mapping'!$C$7:$C$100,0))</f>
        <v>Keytruda</v>
      </c>
      <c r="D23" s="138" t="s">
        <v>74</v>
      </c>
      <c r="E23" s="22" t="s">
        <v>43</v>
      </c>
      <c r="F23" s="22" t="s">
        <v>44</v>
      </c>
      <c r="G23" s="22" t="s">
        <v>25</v>
      </c>
      <c r="H23" s="22" t="s">
        <v>95</v>
      </c>
      <c r="I23" s="22" t="s">
        <v>96</v>
      </c>
      <c r="J23" s="22" t="s">
        <v>28</v>
      </c>
      <c r="K23" s="125">
        <v>884.72981499999992</v>
      </c>
      <c r="L23" s="125">
        <v>814.59306000000004</v>
      </c>
      <c r="M23" s="125">
        <v>703.84703600000012</v>
      </c>
      <c r="N23" s="125">
        <v>556.12741900000003</v>
      </c>
      <c r="O23" s="125">
        <v>430.459361</v>
      </c>
      <c r="P23" s="125">
        <v>8.6316681899999992</v>
      </c>
      <c r="Q23" s="126">
        <v>43101</v>
      </c>
      <c r="R23" s="22" t="s">
        <v>94</v>
      </c>
      <c r="S23" s="22" t="s">
        <v>41</v>
      </c>
      <c r="T23" s="22" t="s">
        <v>57</v>
      </c>
      <c r="U23" s="22" t="s">
        <v>47</v>
      </c>
      <c r="V23" s="128">
        <v>7031.2970037967607</v>
      </c>
      <c r="W23" s="128">
        <v>6075.3740712669851</v>
      </c>
      <c r="X23" s="128">
        <v>4800.3073521691013</v>
      </c>
      <c r="Y23" s="127">
        <v>0.3</v>
      </c>
      <c r="Z23" s="127">
        <v>0.3</v>
      </c>
      <c r="AA23" s="128">
        <v>2109.3891011390283</v>
      </c>
      <c r="AB23" s="128">
        <v>1822.6122213800954</v>
      </c>
      <c r="AC23" s="127">
        <v>0.65</v>
      </c>
      <c r="AD23" s="127">
        <v>0.35</v>
      </c>
      <c r="AE23" s="160">
        <v>2009.0171932234018</v>
      </c>
      <c r="AF23" s="164">
        <f>_xlfn.IFNA(INDEX('PGM Values'!$D$9:$D$17,MATCH('Raw Forecasting NPS Data'!$C23,'PGM Values'!$B$9:$B$17,0)),0)</f>
        <v>11542</v>
      </c>
      <c r="AG23" s="129">
        <f>_xlfn.IFNA(INDEX('PGM Values'!$C$9:$C$17,MATCH('Raw Forecasting NPS Data'!$C23,'PGM Values'!$B$9:$B$17,0)),0)</f>
        <v>11542</v>
      </c>
      <c r="AH23" s="129">
        <f t="shared" si="5"/>
        <v>23188076.444184504</v>
      </c>
      <c r="AI23" s="165">
        <f t="shared" si="6"/>
        <v>23188076.444184504</v>
      </c>
    </row>
    <row r="24" spans="3:35" x14ac:dyDescent="0.35">
      <c r="C24" s="180" t="str">
        <f>INDEX('Finance to Brand Mapping'!$D$7:$D$100,MATCH('Raw Forecasting NPS Data'!$I24,'Finance to Brand Mapping'!$C$7:$C$100,0))</f>
        <v>Keytruda</v>
      </c>
      <c r="D24" s="138" t="s">
        <v>74</v>
      </c>
      <c r="E24" s="22" t="s">
        <v>43</v>
      </c>
      <c r="F24" s="22" t="s">
        <v>81</v>
      </c>
      <c r="G24" s="22" t="s">
        <v>90</v>
      </c>
      <c r="H24" s="22" t="s">
        <v>97</v>
      </c>
      <c r="I24" s="22" t="s">
        <v>347</v>
      </c>
      <c r="J24" s="22" t="s">
        <v>28</v>
      </c>
      <c r="K24" s="125">
        <v>953.86110999999994</v>
      </c>
      <c r="L24" s="125">
        <v>958.17548899999997</v>
      </c>
      <c r="M24" s="125">
        <v>959.35367600000006</v>
      </c>
      <c r="N24" s="125">
        <v>959.74836199999982</v>
      </c>
      <c r="O24" s="125">
        <v>959.89793799999984</v>
      </c>
      <c r="P24" s="125">
        <v>7.3</v>
      </c>
      <c r="Q24" s="126">
        <v>42887</v>
      </c>
      <c r="R24" s="22" t="s">
        <v>83</v>
      </c>
      <c r="S24" s="22" t="s">
        <v>41</v>
      </c>
      <c r="T24" s="22" t="s">
        <v>57</v>
      </c>
      <c r="U24" s="22" t="s">
        <v>98</v>
      </c>
      <c r="V24" s="128">
        <v>6994.6810696999992</v>
      </c>
      <c r="W24" s="128">
        <v>7003.2818348000001</v>
      </c>
      <c r="X24" s="128">
        <v>7006.1630425999983</v>
      </c>
      <c r="Y24" s="127">
        <v>0.15</v>
      </c>
      <c r="Z24" s="127">
        <v>0.15</v>
      </c>
      <c r="AA24" s="128">
        <v>1049.2021604549998</v>
      </c>
      <c r="AB24" s="128">
        <v>1050.49227522</v>
      </c>
      <c r="AC24" s="127">
        <v>0.65</v>
      </c>
      <c r="AD24" s="127">
        <v>0.35</v>
      </c>
      <c r="AE24" s="160">
        <v>1049.65370062275</v>
      </c>
      <c r="AF24" s="164">
        <f>_xlfn.IFNA(INDEX('PGM Values'!$D$9:$D$17,MATCH('Raw Forecasting NPS Data'!$C24,'PGM Values'!$B$9:$B$17,0)),0)</f>
        <v>11542</v>
      </c>
      <c r="AG24" s="129">
        <f>_xlfn.IFNA(INDEX('PGM Values'!$C$9:$C$17,MATCH('Raw Forecasting NPS Data'!$C24,'PGM Values'!$B$9:$B$17,0)),0)</f>
        <v>11542</v>
      </c>
      <c r="AH24" s="129">
        <f t="shared" si="5"/>
        <v>12115103.01258778</v>
      </c>
      <c r="AI24" s="165">
        <f t="shared" si="6"/>
        <v>12115103.01258778</v>
      </c>
    </row>
    <row r="25" spans="3:35" x14ac:dyDescent="0.35">
      <c r="C25" s="180" t="str">
        <f>INDEX('Finance to Brand Mapping'!$D$7:$D$100,MATCH('Raw Forecasting NPS Data'!$I25,'Finance to Brand Mapping'!$C$7:$C$100,0))</f>
        <v>Keytruda</v>
      </c>
      <c r="D25" s="138" t="s">
        <v>99</v>
      </c>
      <c r="E25" s="22" t="s">
        <v>100</v>
      </c>
      <c r="F25" s="22" t="s">
        <v>35</v>
      </c>
      <c r="G25" s="22" t="s">
        <v>25</v>
      </c>
      <c r="H25" s="22" t="s">
        <v>101</v>
      </c>
      <c r="I25" s="22" t="s">
        <v>102</v>
      </c>
      <c r="J25" s="22" t="s">
        <v>28</v>
      </c>
      <c r="K25" s="125">
        <v>0</v>
      </c>
      <c r="L25" s="125">
        <v>0</v>
      </c>
      <c r="M25" s="125">
        <v>0</v>
      </c>
      <c r="N25" s="125">
        <v>80.529252</v>
      </c>
      <c r="O25" s="125">
        <v>537.49952599999995</v>
      </c>
      <c r="P25" s="125">
        <v>8.9600000000000009</v>
      </c>
      <c r="Q25" s="126">
        <v>46236</v>
      </c>
      <c r="R25" s="22"/>
      <c r="S25" s="22" t="s">
        <v>103</v>
      </c>
      <c r="T25" s="22" t="s">
        <v>104</v>
      </c>
      <c r="U25" s="22" t="s">
        <v>72</v>
      </c>
      <c r="V25" s="128">
        <v>0</v>
      </c>
      <c r="W25" s="128">
        <v>0</v>
      </c>
      <c r="X25" s="128">
        <v>721.54209792000006</v>
      </c>
      <c r="Y25" s="127" t="s">
        <v>72</v>
      </c>
      <c r="Z25" s="127" t="s">
        <v>72</v>
      </c>
      <c r="AA25" s="128" t="s">
        <v>32</v>
      </c>
      <c r="AB25" s="128" t="s">
        <v>32</v>
      </c>
      <c r="AC25" s="127" t="s">
        <v>72</v>
      </c>
      <c r="AD25" s="127" t="s">
        <v>72</v>
      </c>
      <c r="AE25" s="160">
        <v>0</v>
      </c>
      <c r="AF25" s="164">
        <f>_xlfn.IFNA(INDEX('PGM Values'!$D$9:$D$17,MATCH('Raw Forecasting NPS Data'!$C25,'PGM Values'!$B$9:$B$17,0)),0)</f>
        <v>11542</v>
      </c>
      <c r="AG25" s="129">
        <f>_xlfn.IFNA(INDEX('PGM Values'!$C$9:$C$17,MATCH('Raw Forecasting NPS Data'!$C25,'PGM Values'!$B$9:$B$17,0)),0)</f>
        <v>11542</v>
      </c>
      <c r="AH25" s="129">
        <f t="shared" si="5"/>
        <v>0</v>
      </c>
      <c r="AI25" s="165">
        <f t="shared" si="6"/>
        <v>0</v>
      </c>
    </row>
    <row r="26" spans="3:35" x14ac:dyDescent="0.35">
      <c r="C26" s="180" t="str">
        <f>INDEX('Finance to Brand Mapping'!$D$7:$D$100,MATCH('Raw Forecasting NPS Data'!$I26,'Finance to Brand Mapping'!$C$7:$C$100,0))</f>
        <v>Keytruda-Lenvima</v>
      </c>
      <c r="D26" s="138" t="s">
        <v>99</v>
      </c>
      <c r="E26" s="22" t="s">
        <v>84</v>
      </c>
      <c r="F26" s="22">
        <v>1</v>
      </c>
      <c r="G26" s="22" t="s">
        <v>25</v>
      </c>
      <c r="H26" s="22" t="s">
        <v>105</v>
      </c>
      <c r="I26" s="22" t="s">
        <v>106</v>
      </c>
      <c r="J26" s="22" t="s">
        <v>28</v>
      </c>
      <c r="K26" s="125">
        <v>0</v>
      </c>
      <c r="L26" s="125">
        <v>0</v>
      </c>
      <c r="M26" s="125">
        <v>0</v>
      </c>
      <c r="N26" s="125">
        <v>340.238271</v>
      </c>
      <c r="O26" s="125">
        <v>690.847306</v>
      </c>
      <c r="P26" s="125">
        <v>6.2492398549999999</v>
      </c>
      <c r="Q26" s="126">
        <v>46083</v>
      </c>
      <c r="R26" s="22"/>
      <c r="S26" s="22" t="s">
        <v>103</v>
      </c>
      <c r="T26" s="22" t="s">
        <v>104</v>
      </c>
      <c r="U26" s="22" t="s">
        <v>72</v>
      </c>
      <c r="V26" s="128">
        <v>0</v>
      </c>
      <c r="W26" s="128">
        <v>0</v>
      </c>
      <c r="X26" s="128">
        <v>2126.2305633294905</v>
      </c>
      <c r="Y26" s="127" t="s">
        <v>72</v>
      </c>
      <c r="Z26" s="127" t="s">
        <v>72</v>
      </c>
      <c r="AA26" s="128" t="s">
        <v>32</v>
      </c>
      <c r="AB26" s="128" t="s">
        <v>32</v>
      </c>
      <c r="AC26" s="127" t="s">
        <v>72</v>
      </c>
      <c r="AD26" s="127" t="s">
        <v>72</v>
      </c>
      <c r="AE26" s="160">
        <v>0</v>
      </c>
      <c r="AF26" s="164">
        <f>_xlfn.IFNA(INDEX('PGM Values'!$D$9:$D$17,MATCH('Raw Forecasting NPS Data'!$C26,'PGM Values'!$B$9:$B$17,0)),0)</f>
        <v>26793</v>
      </c>
      <c r="AG26" s="129">
        <f>_xlfn.IFNA(INDEX('PGM Values'!$C$9:$C$17,MATCH('Raw Forecasting NPS Data'!$C26,'PGM Values'!$B$9:$B$17,0)),0)</f>
        <v>19167.5</v>
      </c>
      <c r="AH26" s="129">
        <f t="shared" si="5"/>
        <v>0</v>
      </c>
      <c r="AI26" s="165">
        <f t="shared" si="6"/>
        <v>0</v>
      </c>
    </row>
    <row r="27" spans="3:35" x14ac:dyDescent="0.35">
      <c r="C27" s="180" t="str">
        <f>INDEX('Finance to Brand Mapping'!$D$7:$D$100,MATCH('Raw Forecasting NPS Data'!$I27,'Finance to Brand Mapping'!$C$7:$C$100,0))</f>
        <v>Keytruda</v>
      </c>
      <c r="D27" s="138" t="s">
        <v>99</v>
      </c>
      <c r="E27" s="22" t="s">
        <v>43</v>
      </c>
      <c r="F27" s="22" t="s">
        <v>24</v>
      </c>
      <c r="G27" s="22" t="s">
        <v>25</v>
      </c>
      <c r="H27" s="22" t="s">
        <v>107</v>
      </c>
      <c r="I27" s="22" t="s">
        <v>108</v>
      </c>
      <c r="J27" s="22" t="s">
        <v>28</v>
      </c>
      <c r="K27" s="125">
        <v>1996.5779560000001</v>
      </c>
      <c r="L27" s="125">
        <v>2190.608279</v>
      </c>
      <c r="M27" s="125">
        <v>2195.1792659999996</v>
      </c>
      <c r="N27" s="125">
        <v>2052.4788839999997</v>
      </c>
      <c r="O27" s="125">
        <v>1793.5360640000001</v>
      </c>
      <c r="P27" s="125">
        <v>6.2492398549999999</v>
      </c>
      <c r="Q27" s="126">
        <v>44256</v>
      </c>
      <c r="R27" s="22"/>
      <c r="S27" s="22" t="s">
        <v>41</v>
      </c>
      <c r="T27" s="22" t="s">
        <v>42</v>
      </c>
      <c r="U27" s="22" t="s">
        <v>42</v>
      </c>
      <c r="V27" s="128">
        <v>13689.63656381976</v>
      </c>
      <c r="W27" s="128">
        <v>13718.201757956844</v>
      </c>
      <c r="X27" s="128">
        <v>12826.432843438719</v>
      </c>
      <c r="Y27" s="127">
        <v>0.8</v>
      </c>
      <c r="Z27" s="127">
        <v>0.6</v>
      </c>
      <c r="AA27" s="128">
        <v>10951.709251055809</v>
      </c>
      <c r="AB27" s="128">
        <v>8230.9210547741059</v>
      </c>
      <c r="AC27" s="127">
        <v>0.65</v>
      </c>
      <c r="AD27" s="127">
        <v>0.35</v>
      </c>
      <c r="AE27" s="160">
        <v>9999.4333823572124</v>
      </c>
      <c r="AF27" s="164">
        <f>_xlfn.IFNA(INDEX('PGM Values'!$D$9:$D$17,MATCH('Raw Forecasting NPS Data'!$C27,'PGM Values'!$B$9:$B$17,0)),0)</f>
        <v>11542</v>
      </c>
      <c r="AG27" s="129">
        <f>_xlfn.IFNA(INDEX('PGM Values'!$C$9:$C$17,MATCH('Raw Forecasting NPS Data'!$C27,'PGM Values'!$B$9:$B$17,0)),0)</f>
        <v>11542</v>
      </c>
      <c r="AH27" s="129">
        <f t="shared" si="5"/>
        <v>115413460.09916694</v>
      </c>
      <c r="AI27" s="165">
        <f t="shared" si="6"/>
        <v>115413460.09916694</v>
      </c>
    </row>
    <row r="28" spans="3:35" x14ac:dyDescent="0.35">
      <c r="C28" s="180" t="str">
        <f>INDEX('Finance to Brand Mapping'!$D$7:$D$100,MATCH('Raw Forecasting NPS Data'!$I28,'Finance to Brand Mapping'!$C$7:$C$100,0))</f>
        <v>Keytruda</v>
      </c>
      <c r="D28" s="138" t="s">
        <v>99</v>
      </c>
      <c r="E28" s="22" t="s">
        <v>43</v>
      </c>
      <c r="F28" s="22">
        <v>1</v>
      </c>
      <c r="G28" s="22" t="s">
        <v>25</v>
      </c>
      <c r="H28" s="22" t="s">
        <v>107</v>
      </c>
      <c r="I28" s="22" t="s">
        <v>108</v>
      </c>
      <c r="J28" s="22" t="s">
        <v>28</v>
      </c>
      <c r="K28" s="125">
        <v>710.4341750000001</v>
      </c>
      <c r="L28" s="125">
        <v>555.94685699999991</v>
      </c>
      <c r="M28" s="125">
        <v>552.92009600000006</v>
      </c>
      <c r="N28" s="125">
        <v>515.02468699999997</v>
      </c>
      <c r="O28" s="125">
        <v>447.996647</v>
      </c>
      <c r="P28" s="125">
        <v>6.2492398549999999</v>
      </c>
      <c r="Q28" s="126">
        <v>44256</v>
      </c>
      <c r="R28" s="22"/>
      <c r="S28" s="22" t="s">
        <v>41</v>
      </c>
      <c r="T28" s="22" t="s">
        <v>42</v>
      </c>
      <c r="U28" s="22" t="s">
        <v>42</v>
      </c>
      <c r="V28" s="128">
        <v>3474.2452560263851</v>
      </c>
      <c r="W28" s="128">
        <v>3455.3303005536263</v>
      </c>
      <c r="X28" s="128">
        <v>3218.5128003093</v>
      </c>
      <c r="Y28" s="127">
        <v>0.8</v>
      </c>
      <c r="Z28" s="127">
        <v>0.6</v>
      </c>
      <c r="AA28" s="128">
        <v>2779.3962048211083</v>
      </c>
      <c r="AB28" s="128">
        <v>2073.1981803321755</v>
      </c>
      <c r="AC28" s="127">
        <v>0.65</v>
      </c>
      <c r="AD28" s="127">
        <v>0.35</v>
      </c>
      <c r="AE28" s="160">
        <v>2532.226896249982</v>
      </c>
      <c r="AF28" s="164">
        <f>_xlfn.IFNA(INDEX('PGM Values'!$D$9:$D$17,MATCH('Raw Forecasting NPS Data'!$C28,'PGM Values'!$B$9:$B$17,0)),0)</f>
        <v>11542</v>
      </c>
      <c r="AG28" s="129">
        <f>_xlfn.IFNA(INDEX('PGM Values'!$C$9:$C$17,MATCH('Raw Forecasting NPS Data'!$C28,'PGM Values'!$B$9:$B$17,0)),0)</f>
        <v>11542</v>
      </c>
      <c r="AH28" s="129">
        <f t="shared" si="5"/>
        <v>29226962.836517293</v>
      </c>
      <c r="AI28" s="165">
        <f t="shared" si="6"/>
        <v>29226962.836517293</v>
      </c>
    </row>
    <row r="29" spans="3:35" x14ac:dyDescent="0.35">
      <c r="C29" s="180" t="str">
        <f>INDEX('Finance to Brand Mapping'!$D$7:$D$100,MATCH('Raw Forecasting NPS Data'!$I29,'Finance to Brand Mapping'!$C$7:$C$100,0))</f>
        <v>Keytruda</v>
      </c>
      <c r="D29" s="138" t="s">
        <v>99</v>
      </c>
      <c r="E29" s="22" t="s">
        <v>43</v>
      </c>
      <c r="F29" s="22" t="s">
        <v>44</v>
      </c>
      <c r="G29" s="22" t="s">
        <v>25</v>
      </c>
      <c r="H29" s="22" t="s">
        <v>109</v>
      </c>
      <c r="I29" s="22" t="s">
        <v>110</v>
      </c>
      <c r="J29" s="22" t="s">
        <v>28</v>
      </c>
      <c r="K29" s="125">
        <v>1280.619432</v>
      </c>
      <c r="L29" s="125">
        <v>1201.8628630000001</v>
      </c>
      <c r="M29" s="125">
        <v>1225.4217800000001</v>
      </c>
      <c r="N29" s="125">
        <v>1123.8389529999999</v>
      </c>
      <c r="O29" s="125">
        <v>915.99363799999992</v>
      </c>
      <c r="P29" s="125">
        <v>5.1489971769999903</v>
      </c>
      <c r="Q29" s="126">
        <v>43678</v>
      </c>
      <c r="R29" s="22" t="s">
        <v>111</v>
      </c>
      <c r="S29" s="22" t="s">
        <v>41</v>
      </c>
      <c r="T29" s="22" t="s">
        <v>47</v>
      </c>
      <c r="U29" s="22" t="s">
        <v>47</v>
      </c>
      <c r="V29" s="128">
        <v>6188.3884887281265</v>
      </c>
      <c r="W29" s="128">
        <v>6309.6932858543041</v>
      </c>
      <c r="X29" s="128">
        <v>5786.6435963996246</v>
      </c>
      <c r="Y29" s="127">
        <v>0.8</v>
      </c>
      <c r="Z29" s="127">
        <v>0.6</v>
      </c>
      <c r="AA29" s="128">
        <v>4950.7107909825017</v>
      </c>
      <c r="AB29" s="128">
        <v>3785.8159715125821</v>
      </c>
      <c r="AC29" s="127">
        <v>0.65</v>
      </c>
      <c r="AD29" s="127">
        <v>0.35</v>
      </c>
      <c r="AE29" s="160">
        <v>4542.9976041680302</v>
      </c>
      <c r="AF29" s="164">
        <f>_xlfn.IFNA(INDEX('PGM Values'!$D$9:$D$17,MATCH('Raw Forecasting NPS Data'!$C29,'PGM Values'!$B$9:$B$17,0)),0)</f>
        <v>11542</v>
      </c>
      <c r="AG29" s="129">
        <f>_xlfn.IFNA(INDEX('PGM Values'!$C$9:$C$17,MATCH('Raw Forecasting NPS Data'!$C29,'PGM Values'!$B$9:$B$17,0)),0)</f>
        <v>11542</v>
      </c>
      <c r="AH29" s="129">
        <f t="shared" si="5"/>
        <v>52435278.347307406</v>
      </c>
      <c r="AI29" s="165">
        <f t="shared" si="6"/>
        <v>52435278.347307406</v>
      </c>
    </row>
    <row r="30" spans="3:35" x14ac:dyDescent="0.35">
      <c r="C30" s="180" t="str">
        <f>INDEX('Finance to Brand Mapping'!$D$7:$D$100,MATCH('Raw Forecasting NPS Data'!$I30,'Finance to Brand Mapping'!$C$7:$C$100,0))</f>
        <v>Keytruda</v>
      </c>
      <c r="D30" s="138" t="s">
        <v>99</v>
      </c>
      <c r="E30" s="22" t="s">
        <v>43</v>
      </c>
      <c r="F30" s="22" t="s">
        <v>112</v>
      </c>
      <c r="G30" s="22" t="s">
        <v>90</v>
      </c>
      <c r="H30" s="22" t="s">
        <v>113</v>
      </c>
      <c r="I30" s="22" t="s">
        <v>110</v>
      </c>
      <c r="J30" s="22" t="s">
        <v>28</v>
      </c>
      <c r="K30" s="125">
        <v>119.98701500000001</v>
      </c>
      <c r="L30" s="125">
        <v>119.99632199999999</v>
      </c>
      <c r="M30" s="125">
        <v>119.998886</v>
      </c>
      <c r="N30" s="125">
        <v>119.999658</v>
      </c>
      <c r="O30" s="125">
        <v>119.999893</v>
      </c>
      <c r="P30" s="125">
        <v>6</v>
      </c>
      <c r="Q30" s="126">
        <v>44256</v>
      </c>
      <c r="R30" s="22" t="s">
        <v>114</v>
      </c>
      <c r="S30" s="22" t="s">
        <v>41</v>
      </c>
      <c r="T30" s="22" t="s">
        <v>42</v>
      </c>
      <c r="U30" s="22" t="s">
        <v>42</v>
      </c>
      <c r="V30" s="128">
        <v>719.97793200000001</v>
      </c>
      <c r="W30" s="128">
        <v>719.99331600000005</v>
      </c>
      <c r="X30" s="128">
        <v>719.99794799999995</v>
      </c>
      <c r="Y30" s="127">
        <v>0.8</v>
      </c>
      <c r="Z30" s="127">
        <v>0.6</v>
      </c>
      <c r="AA30" s="128">
        <v>575.98234560000003</v>
      </c>
      <c r="AB30" s="128">
        <v>431.99598960000003</v>
      </c>
      <c r="AC30" s="127">
        <v>0.65</v>
      </c>
      <c r="AD30" s="127">
        <v>0.35</v>
      </c>
      <c r="AE30" s="160">
        <v>525.58712100000002</v>
      </c>
      <c r="AF30" s="164">
        <f>_xlfn.IFNA(INDEX('PGM Values'!$D$9:$D$17,MATCH('Raw Forecasting NPS Data'!$C30,'PGM Values'!$B$9:$B$17,0)),0)</f>
        <v>11542</v>
      </c>
      <c r="AG30" s="129">
        <f>_xlfn.IFNA(INDEX('PGM Values'!$C$9:$C$17,MATCH('Raw Forecasting NPS Data'!$C30,'PGM Values'!$B$9:$B$17,0)),0)</f>
        <v>11542</v>
      </c>
      <c r="AH30" s="129">
        <f t="shared" si="5"/>
        <v>6066326.5505820001</v>
      </c>
      <c r="AI30" s="165">
        <f t="shared" si="6"/>
        <v>6066326.5505820001</v>
      </c>
    </row>
    <row r="31" spans="3:35" x14ac:dyDescent="0.35">
      <c r="C31" s="180" t="str">
        <f>INDEX('Finance to Brand Mapping'!$D$7:$D$100,MATCH('Raw Forecasting NPS Data'!$I31,'Finance to Brand Mapping'!$C$7:$C$100,0))</f>
        <v>Keytruda-Lenvima</v>
      </c>
      <c r="D31" s="138" t="s">
        <v>115</v>
      </c>
      <c r="E31" s="22" t="s">
        <v>116</v>
      </c>
      <c r="F31" s="22" t="s">
        <v>24</v>
      </c>
      <c r="G31" s="22" t="s">
        <v>25</v>
      </c>
      <c r="H31" s="22" t="s">
        <v>117</v>
      </c>
      <c r="I31" s="22" t="s">
        <v>118</v>
      </c>
      <c r="J31" s="22" t="s">
        <v>28</v>
      </c>
      <c r="K31" s="125">
        <v>0</v>
      </c>
      <c r="L31" s="125">
        <v>10.851944</v>
      </c>
      <c r="M31" s="125">
        <v>1074.6107360000001</v>
      </c>
      <c r="N31" s="125">
        <v>1437.899056</v>
      </c>
      <c r="O31" s="125">
        <v>1259.3700340000003</v>
      </c>
      <c r="P31" s="125">
        <v>6.9773486560000002</v>
      </c>
      <c r="Q31" s="126">
        <v>45628</v>
      </c>
      <c r="R31" s="22" t="s">
        <v>119</v>
      </c>
      <c r="S31" s="22">
        <v>24</v>
      </c>
      <c r="T31" s="22" t="s">
        <v>30</v>
      </c>
      <c r="U31" s="22" t="s">
        <v>31</v>
      </c>
      <c r="V31" s="128">
        <v>75.717796883387265</v>
      </c>
      <c r="W31" s="128">
        <v>7497.9337745527719</v>
      </c>
      <c r="X31" s="128">
        <v>10032.723045845269</v>
      </c>
      <c r="Y31" s="127">
        <v>1</v>
      </c>
      <c r="Z31" s="127">
        <v>1</v>
      </c>
      <c r="AA31" s="128">
        <v>75.717796883387265</v>
      </c>
      <c r="AB31" s="128">
        <v>7497.9337745527719</v>
      </c>
      <c r="AC31" s="127">
        <v>0.05</v>
      </c>
      <c r="AD31" s="127">
        <v>0.95</v>
      </c>
      <c r="AE31" s="160">
        <v>7126.8229756693017</v>
      </c>
      <c r="AF31" s="164">
        <f>_xlfn.IFNA(INDEX('PGM Values'!$D$9:$D$17,MATCH('Raw Forecasting NPS Data'!$C31,'PGM Values'!$B$9:$B$17,0)),0)</f>
        <v>26793</v>
      </c>
      <c r="AG31" s="129">
        <f>_xlfn.IFNA(INDEX('PGM Values'!$C$9:$C$17,MATCH('Raw Forecasting NPS Data'!$C31,'PGM Values'!$B$9:$B$17,0)),0)</f>
        <v>19167.5</v>
      </c>
      <c r="AH31" s="129">
        <f t="shared" si="5"/>
        <v>190948967.9871076</v>
      </c>
      <c r="AI31" s="165">
        <f t="shared" si="6"/>
        <v>136603379.38614133</v>
      </c>
    </row>
    <row r="32" spans="3:35" x14ac:dyDescent="0.35">
      <c r="C32" s="180" t="str">
        <f>INDEX('Finance to Brand Mapping'!$D$7:$D$100,MATCH('Raw Forecasting NPS Data'!$I32,'Finance to Brand Mapping'!$C$7:$C$100,0))</f>
        <v>Keytruda</v>
      </c>
      <c r="D32" s="138" t="s">
        <v>115</v>
      </c>
      <c r="E32" s="22" t="s">
        <v>120</v>
      </c>
      <c r="F32" s="22" t="s">
        <v>24</v>
      </c>
      <c r="G32" s="22" t="s">
        <v>25</v>
      </c>
      <c r="H32" s="22" t="s">
        <v>121</v>
      </c>
      <c r="I32" s="22" t="s">
        <v>122</v>
      </c>
      <c r="J32" s="22" t="s">
        <v>28</v>
      </c>
      <c r="K32" s="125">
        <v>0</v>
      </c>
      <c r="L32" s="125">
        <v>685.1541830000001</v>
      </c>
      <c r="M32" s="125">
        <v>534.26328399999989</v>
      </c>
      <c r="N32" s="125">
        <v>386.82190100000008</v>
      </c>
      <c r="O32" s="125">
        <v>343.56576900000005</v>
      </c>
      <c r="P32" s="125">
        <v>5.4900343679999999</v>
      </c>
      <c r="Q32" s="126">
        <v>45293</v>
      </c>
      <c r="R32" s="22" t="s">
        <v>123</v>
      </c>
      <c r="S32" s="22">
        <v>24</v>
      </c>
      <c r="T32" s="22" t="s">
        <v>30</v>
      </c>
      <c r="U32" s="22" t="s">
        <v>31</v>
      </c>
      <c r="V32" s="128">
        <v>3761.5200120489617</v>
      </c>
      <c r="W32" s="128">
        <v>2933.1237907205436</v>
      </c>
      <c r="X32" s="128">
        <v>2123.6655307850938</v>
      </c>
      <c r="Y32" s="127">
        <v>1</v>
      </c>
      <c r="Z32" s="127">
        <v>1</v>
      </c>
      <c r="AA32" s="128">
        <v>3761.5200120489617</v>
      </c>
      <c r="AB32" s="128">
        <v>2933.1237907205436</v>
      </c>
      <c r="AC32" s="127">
        <v>0.6</v>
      </c>
      <c r="AD32" s="127">
        <v>0.4</v>
      </c>
      <c r="AE32" s="160">
        <v>3430.1615235175941</v>
      </c>
      <c r="AF32" s="164">
        <f>_xlfn.IFNA(INDEX('PGM Values'!$D$9:$D$17,MATCH('Raw Forecasting NPS Data'!$C32,'PGM Values'!$B$9:$B$17,0)),0)</f>
        <v>11542</v>
      </c>
      <c r="AG32" s="129">
        <f>_xlfn.IFNA(INDEX('PGM Values'!$C$9:$C$17,MATCH('Raw Forecasting NPS Data'!$C32,'PGM Values'!$B$9:$B$17,0)),0)</f>
        <v>11542</v>
      </c>
      <c r="AH32" s="129">
        <f t="shared" si="5"/>
        <v>39590924.304440074</v>
      </c>
      <c r="AI32" s="165">
        <f t="shared" si="6"/>
        <v>39590924.304440074</v>
      </c>
    </row>
    <row r="33" spans="3:35" x14ac:dyDescent="0.35">
      <c r="C33" s="180" t="str">
        <f>INDEX('Finance to Brand Mapping'!$D$7:$D$100,MATCH('Raw Forecasting NPS Data'!$I33,'Finance to Brand Mapping'!$C$7:$C$100,0))</f>
        <v>Keytruda</v>
      </c>
      <c r="D33" s="138" t="s">
        <v>115</v>
      </c>
      <c r="E33" s="22" t="s">
        <v>120</v>
      </c>
      <c r="F33" s="22" t="s">
        <v>24</v>
      </c>
      <c r="G33" s="22" t="s">
        <v>25</v>
      </c>
      <c r="H33" s="22" t="s">
        <v>121</v>
      </c>
      <c r="I33" s="22" t="s">
        <v>124</v>
      </c>
      <c r="J33" s="22" t="s">
        <v>28</v>
      </c>
      <c r="K33" s="125">
        <v>581.44313000000011</v>
      </c>
      <c r="L33" s="125">
        <v>618.59529299999997</v>
      </c>
      <c r="M33" s="125">
        <v>620.93991400000004</v>
      </c>
      <c r="N33" s="125">
        <v>490.733363</v>
      </c>
      <c r="O33" s="125">
        <v>391.193174</v>
      </c>
      <c r="P33" s="125">
        <v>6.9773486560000002</v>
      </c>
      <c r="Q33" s="126">
        <v>43800</v>
      </c>
      <c r="R33" s="22" t="s">
        <v>123</v>
      </c>
      <c r="S33" s="22" t="s">
        <v>41</v>
      </c>
      <c r="T33" s="22" t="s">
        <v>47</v>
      </c>
      <c r="U33" s="22" t="s">
        <v>47</v>
      </c>
      <c r="V33" s="128">
        <v>4316.1550362214757</v>
      </c>
      <c r="W33" s="128">
        <v>4332.5142744046561</v>
      </c>
      <c r="X33" s="128">
        <v>3424.01777078241</v>
      </c>
      <c r="Y33" s="127">
        <v>0.3</v>
      </c>
      <c r="Z33" s="127">
        <v>0.3</v>
      </c>
      <c r="AA33" s="128">
        <v>1294.8465108664427</v>
      </c>
      <c r="AB33" s="128">
        <v>1299.7542823213969</v>
      </c>
      <c r="AC33" s="127">
        <v>0.65</v>
      </c>
      <c r="AD33" s="127">
        <v>0.35</v>
      </c>
      <c r="AE33" s="160">
        <v>1296.5642308756767</v>
      </c>
      <c r="AF33" s="164">
        <f>_xlfn.IFNA(INDEX('PGM Values'!$D$9:$D$17,MATCH('Raw Forecasting NPS Data'!$C33,'PGM Values'!$B$9:$B$17,0)),0)</f>
        <v>11542</v>
      </c>
      <c r="AG33" s="129">
        <f>_xlfn.IFNA(INDEX('PGM Values'!$C$9:$C$17,MATCH('Raw Forecasting NPS Data'!$C33,'PGM Values'!$B$9:$B$17,0)),0)</f>
        <v>11542</v>
      </c>
      <c r="AH33" s="129">
        <f t="shared" si="5"/>
        <v>14964944.35276706</v>
      </c>
      <c r="AI33" s="165">
        <f t="shared" si="6"/>
        <v>14964944.35276706</v>
      </c>
    </row>
    <row r="34" spans="3:35" x14ac:dyDescent="0.35">
      <c r="C34" s="180" t="str">
        <f>INDEX('Finance to Brand Mapping'!$D$7:$D$100,MATCH('Raw Forecasting NPS Data'!$I34,'Finance to Brand Mapping'!$C$7:$C$100,0))</f>
        <v>Keytruda</v>
      </c>
      <c r="D34" s="138" t="s">
        <v>115</v>
      </c>
      <c r="E34" s="22" t="s">
        <v>120</v>
      </c>
      <c r="F34" s="22">
        <v>2</v>
      </c>
      <c r="G34" s="22" t="s">
        <v>25</v>
      </c>
      <c r="H34" s="22" t="s">
        <v>125</v>
      </c>
      <c r="I34" s="22" t="s">
        <v>126</v>
      </c>
      <c r="J34" s="22" t="s">
        <v>28</v>
      </c>
      <c r="K34" s="125">
        <v>375.55968100000001</v>
      </c>
      <c r="L34" s="125">
        <v>301.89705700000002</v>
      </c>
      <c r="M34" s="125">
        <v>301.01810900000004</v>
      </c>
      <c r="N34" s="125">
        <v>281.03421700000001</v>
      </c>
      <c r="O34" s="125">
        <v>245.15666099999999</v>
      </c>
      <c r="P34" s="125">
        <v>4.8495757869999903</v>
      </c>
      <c r="Q34" s="126">
        <v>43800</v>
      </c>
      <c r="R34" s="22"/>
      <c r="S34" s="22" t="s">
        <v>41</v>
      </c>
      <c r="T34" s="22" t="s">
        <v>47</v>
      </c>
      <c r="U34" s="22" t="s">
        <v>47</v>
      </c>
      <c r="V34" s="128">
        <v>1464.072657793756</v>
      </c>
      <c r="W34" s="128">
        <v>1459.8101328549239</v>
      </c>
      <c r="X34" s="128">
        <v>1362.8967340817012</v>
      </c>
      <c r="Y34" s="127">
        <v>0.3</v>
      </c>
      <c r="Z34" s="127">
        <v>0.3</v>
      </c>
      <c r="AA34" s="128">
        <v>439.22179733812681</v>
      </c>
      <c r="AB34" s="128">
        <v>437.94303985647718</v>
      </c>
      <c r="AC34" s="127">
        <v>0.65</v>
      </c>
      <c r="AD34" s="127">
        <v>0.35</v>
      </c>
      <c r="AE34" s="160">
        <v>438.77423221954945</v>
      </c>
      <c r="AF34" s="164">
        <f>_xlfn.IFNA(INDEX('PGM Values'!$D$9:$D$17,MATCH('Raw Forecasting NPS Data'!$C34,'PGM Values'!$B$9:$B$17,0)),0)</f>
        <v>11542</v>
      </c>
      <c r="AG34" s="129">
        <f>_xlfn.IFNA(INDEX('PGM Values'!$C$9:$C$17,MATCH('Raw Forecasting NPS Data'!$C34,'PGM Values'!$B$9:$B$17,0)),0)</f>
        <v>11542</v>
      </c>
      <c r="AH34" s="129">
        <f t="shared" si="5"/>
        <v>5064332.1882780399</v>
      </c>
      <c r="AI34" s="165">
        <f t="shared" si="6"/>
        <v>5064332.1882780399</v>
      </c>
    </row>
    <row r="35" spans="3:35" x14ac:dyDescent="0.35">
      <c r="C35" s="180" t="str">
        <f>INDEX('Finance to Brand Mapping'!$D$7:$D$100,MATCH('Raw Forecasting NPS Data'!$I35,'Finance to Brand Mapping'!$C$7:$C$100,0))</f>
        <v>Keytruda</v>
      </c>
      <c r="D35" s="138" t="s">
        <v>115</v>
      </c>
      <c r="E35" s="22" t="s">
        <v>120</v>
      </c>
      <c r="F35" s="22">
        <v>2</v>
      </c>
      <c r="G35" s="22" t="s">
        <v>25</v>
      </c>
      <c r="H35" s="22" t="s">
        <v>125</v>
      </c>
      <c r="I35" s="22" t="s">
        <v>126</v>
      </c>
      <c r="J35" s="22" t="s">
        <v>28</v>
      </c>
      <c r="K35" s="125">
        <v>67.704634999999996</v>
      </c>
      <c r="L35" s="125">
        <v>58.840919000000007</v>
      </c>
      <c r="M35" s="125">
        <v>58.606888999999995</v>
      </c>
      <c r="N35" s="125">
        <v>54.714968999999996</v>
      </c>
      <c r="O35" s="125">
        <v>47.729883000000001</v>
      </c>
      <c r="P35" s="125">
        <v>5.1480895719999999</v>
      </c>
      <c r="Q35" s="126">
        <v>43132</v>
      </c>
      <c r="R35" s="22"/>
      <c r="S35" s="22" t="s">
        <v>41</v>
      </c>
      <c r="T35" s="22" t="s">
        <v>47</v>
      </c>
      <c r="U35" s="22" t="s">
        <v>47</v>
      </c>
      <c r="V35" s="128">
        <v>302.91832151079672</v>
      </c>
      <c r="W35" s="128">
        <v>301.71351410826151</v>
      </c>
      <c r="X35" s="128">
        <v>281.67756134120327</v>
      </c>
      <c r="Y35" s="127">
        <v>0.3</v>
      </c>
      <c r="Z35" s="127">
        <v>0.3</v>
      </c>
      <c r="AA35" s="128">
        <v>90.875496453239009</v>
      </c>
      <c r="AB35" s="128">
        <v>90.514054232478443</v>
      </c>
      <c r="AC35" s="127">
        <v>0.65</v>
      </c>
      <c r="AD35" s="127">
        <v>0.35</v>
      </c>
      <c r="AE35" s="160">
        <v>90.748991675972817</v>
      </c>
      <c r="AF35" s="164">
        <f>_xlfn.IFNA(INDEX('PGM Values'!$D$9:$D$17,MATCH('Raw Forecasting NPS Data'!$C35,'PGM Values'!$B$9:$B$17,0)),0)</f>
        <v>11542</v>
      </c>
      <c r="AG35" s="129">
        <f>_xlfn.IFNA(INDEX('PGM Values'!$C$9:$C$17,MATCH('Raw Forecasting NPS Data'!$C35,'PGM Values'!$B$9:$B$17,0)),0)</f>
        <v>11542</v>
      </c>
      <c r="AH35" s="129">
        <f t="shared" si="5"/>
        <v>1047424.8619240783</v>
      </c>
      <c r="AI35" s="165">
        <f t="shared" si="6"/>
        <v>1047424.8619240783</v>
      </c>
    </row>
    <row r="36" spans="3:35" x14ac:dyDescent="0.35">
      <c r="C36" s="180" t="str">
        <f>INDEX('Finance to Brand Mapping'!$D$7:$D$100,MATCH('Raw Forecasting NPS Data'!$I36,'Finance to Brand Mapping'!$C$7:$C$100,0))</f>
        <v>Keytruda-Lenvima</v>
      </c>
      <c r="D36" s="138" t="s">
        <v>127</v>
      </c>
      <c r="E36" s="22" t="s">
        <v>84</v>
      </c>
      <c r="F36" s="22" t="s">
        <v>128</v>
      </c>
      <c r="G36" s="22" t="s">
        <v>25</v>
      </c>
      <c r="H36" s="22" t="s">
        <v>129</v>
      </c>
      <c r="I36" s="22" t="s">
        <v>130</v>
      </c>
      <c r="J36" s="22" t="s">
        <v>28</v>
      </c>
      <c r="K36" s="125">
        <v>0</v>
      </c>
      <c r="L36" s="125">
        <v>0</v>
      </c>
      <c r="M36" s="125">
        <v>0</v>
      </c>
      <c r="N36" s="125">
        <v>412.96218800000008</v>
      </c>
      <c r="O36" s="125">
        <v>1082.6817530000001</v>
      </c>
      <c r="P36" s="125">
        <v>9</v>
      </c>
      <c r="Q36" s="126">
        <v>46114</v>
      </c>
      <c r="R36" s="22" t="s">
        <v>131</v>
      </c>
      <c r="S36" s="22" t="s">
        <v>103</v>
      </c>
      <c r="T36" s="22" t="s">
        <v>104</v>
      </c>
      <c r="U36" s="22" t="s">
        <v>72</v>
      </c>
      <c r="V36" s="128">
        <v>0</v>
      </c>
      <c r="W36" s="128">
        <v>0</v>
      </c>
      <c r="X36" s="128">
        <v>3716.6596920000006</v>
      </c>
      <c r="Y36" s="127" t="s">
        <v>72</v>
      </c>
      <c r="Z36" s="127" t="s">
        <v>72</v>
      </c>
      <c r="AA36" s="128" t="s">
        <v>32</v>
      </c>
      <c r="AB36" s="128" t="s">
        <v>32</v>
      </c>
      <c r="AC36" s="127" t="s">
        <v>72</v>
      </c>
      <c r="AD36" s="127" t="s">
        <v>72</v>
      </c>
      <c r="AE36" s="160">
        <v>0</v>
      </c>
      <c r="AF36" s="164">
        <f>_xlfn.IFNA(INDEX('PGM Values'!$D$9:$D$17,MATCH('Raw Forecasting NPS Data'!$C36,'PGM Values'!$B$9:$B$17,0)),0)</f>
        <v>26793</v>
      </c>
      <c r="AG36" s="129">
        <f>_xlfn.IFNA(INDEX('PGM Values'!$C$9:$C$17,MATCH('Raw Forecasting NPS Data'!$C36,'PGM Values'!$B$9:$B$17,0)),0)</f>
        <v>19167.5</v>
      </c>
      <c r="AH36" s="129">
        <f t="shared" si="5"/>
        <v>0</v>
      </c>
      <c r="AI36" s="165">
        <f t="shared" si="6"/>
        <v>0</v>
      </c>
    </row>
    <row r="37" spans="3:35" x14ac:dyDescent="0.35">
      <c r="C37" s="180" t="str">
        <f>INDEX('Finance to Brand Mapping'!$D$7:$D$100,MATCH('Raw Forecasting NPS Data'!$I37,'Finance to Brand Mapping'!$C$7:$C$100,0))</f>
        <v>Keytruda</v>
      </c>
      <c r="D37" s="138" t="s">
        <v>127</v>
      </c>
      <c r="E37" s="22" t="s">
        <v>43</v>
      </c>
      <c r="F37" s="22" t="s">
        <v>44</v>
      </c>
      <c r="G37" s="22" t="s">
        <v>25</v>
      </c>
      <c r="H37" s="22" t="s">
        <v>132</v>
      </c>
      <c r="I37" s="22" t="s">
        <v>133</v>
      </c>
      <c r="J37" s="22" t="s">
        <v>28</v>
      </c>
      <c r="K37" s="125">
        <v>90.683582999999985</v>
      </c>
      <c r="L37" s="125">
        <v>51.572514999999996</v>
      </c>
      <c r="M37" s="125">
        <v>47.682999000000002</v>
      </c>
      <c r="N37" s="125">
        <v>44.260586000000011</v>
      </c>
      <c r="O37" s="125">
        <v>38.580750999999992</v>
      </c>
      <c r="P37" s="125">
        <v>5.5501599939999897</v>
      </c>
      <c r="Q37" s="126">
        <v>43101</v>
      </c>
      <c r="R37" s="22" t="s">
        <v>134</v>
      </c>
      <c r="S37" s="22" t="s">
        <v>41</v>
      </c>
      <c r="T37" s="22" t="s">
        <v>57</v>
      </c>
      <c r="U37" s="22" t="s">
        <v>47</v>
      </c>
      <c r="V37" s="128">
        <v>286.23570954296434</v>
      </c>
      <c r="W37" s="128">
        <v>264.64827344374152</v>
      </c>
      <c r="X37" s="128">
        <v>245.65333372819609</v>
      </c>
      <c r="Y37" s="127">
        <v>0.3</v>
      </c>
      <c r="Z37" s="127">
        <v>0.3</v>
      </c>
      <c r="AA37" s="128">
        <v>85.870712862889306</v>
      </c>
      <c r="AB37" s="128">
        <v>79.394482033122458</v>
      </c>
      <c r="AC37" s="127">
        <v>0.65</v>
      </c>
      <c r="AD37" s="127">
        <v>0.35</v>
      </c>
      <c r="AE37" s="160">
        <v>83.604032072470915</v>
      </c>
      <c r="AF37" s="164">
        <f>_xlfn.IFNA(INDEX('PGM Values'!$D$9:$D$17,MATCH('Raw Forecasting NPS Data'!$C37,'PGM Values'!$B$9:$B$17,0)),0)</f>
        <v>11542</v>
      </c>
      <c r="AG37" s="129">
        <f>_xlfn.IFNA(INDEX('PGM Values'!$C$9:$C$17,MATCH('Raw Forecasting NPS Data'!$C37,'PGM Values'!$B$9:$B$17,0)),0)</f>
        <v>11542</v>
      </c>
      <c r="AH37" s="129">
        <f t="shared" si="5"/>
        <v>964957.73818045924</v>
      </c>
      <c r="AI37" s="165">
        <f t="shared" si="6"/>
        <v>964957.73818045924</v>
      </c>
    </row>
    <row r="38" spans="3:35" x14ac:dyDescent="0.35">
      <c r="C38" s="180" t="str">
        <f>INDEX('Finance to Brand Mapping'!$D$7:$D$100,MATCH('Raw Forecasting NPS Data'!$I38,'Finance to Brand Mapping'!$C$7:$C$100,0))</f>
        <v>Keytruda</v>
      </c>
      <c r="D38" s="138" t="s">
        <v>127</v>
      </c>
      <c r="E38" s="22" t="s">
        <v>43</v>
      </c>
      <c r="F38" s="22" t="s">
        <v>81</v>
      </c>
      <c r="G38" s="22" t="s">
        <v>25</v>
      </c>
      <c r="H38" s="22" t="s">
        <v>135</v>
      </c>
      <c r="I38" s="22" t="s">
        <v>136</v>
      </c>
      <c r="J38" s="22" t="s">
        <v>28</v>
      </c>
      <c r="K38" s="125">
        <v>0</v>
      </c>
      <c r="L38" s="125">
        <v>0</v>
      </c>
      <c r="M38" s="125">
        <v>107.44359</v>
      </c>
      <c r="N38" s="125">
        <v>454.782667</v>
      </c>
      <c r="O38" s="125">
        <v>449.911924</v>
      </c>
      <c r="P38" s="125">
        <v>9</v>
      </c>
      <c r="Q38" s="126">
        <v>45840</v>
      </c>
      <c r="R38" s="22" t="s">
        <v>137</v>
      </c>
      <c r="S38" s="22">
        <v>25</v>
      </c>
      <c r="T38" s="22" t="s">
        <v>104</v>
      </c>
      <c r="U38" s="22" t="s">
        <v>73</v>
      </c>
      <c r="V38" s="128">
        <v>0</v>
      </c>
      <c r="W38" s="128">
        <v>966.99230999999997</v>
      </c>
      <c r="X38" s="128">
        <v>4093.044003</v>
      </c>
      <c r="Y38" s="127">
        <v>1</v>
      </c>
      <c r="Z38" s="127">
        <v>1</v>
      </c>
      <c r="AA38" s="128">
        <v>0</v>
      </c>
      <c r="AB38" s="128">
        <v>966.99230999999997</v>
      </c>
      <c r="AC38" s="127">
        <v>0</v>
      </c>
      <c r="AD38" s="127">
        <v>0.7</v>
      </c>
      <c r="AE38" s="160">
        <v>676.89461699999993</v>
      </c>
      <c r="AF38" s="164">
        <f>_xlfn.IFNA(INDEX('PGM Values'!$D$9:$D$17,MATCH('Raw Forecasting NPS Data'!$C38,'PGM Values'!$B$9:$B$17,0)),0)</f>
        <v>11542</v>
      </c>
      <c r="AG38" s="129">
        <f>_xlfn.IFNA(INDEX('PGM Values'!$C$9:$C$17,MATCH('Raw Forecasting NPS Data'!$C38,'PGM Values'!$B$9:$B$17,0)),0)</f>
        <v>11542</v>
      </c>
      <c r="AH38" s="129">
        <f t="shared" si="5"/>
        <v>7812717.6694139987</v>
      </c>
      <c r="AI38" s="165">
        <f t="shared" si="6"/>
        <v>7812717.6694139987</v>
      </c>
    </row>
    <row r="39" spans="3:35" x14ac:dyDescent="0.35">
      <c r="C39" s="180" t="str">
        <f>INDEX('Finance to Brand Mapping'!$D$7:$D$100,MATCH('Raw Forecasting NPS Data'!$I39,'Finance to Brand Mapping'!$C$7:$C$100,0))</f>
        <v>Lenvima</v>
      </c>
      <c r="D39" s="138" t="s">
        <v>127</v>
      </c>
      <c r="E39" s="22" t="s">
        <v>138</v>
      </c>
      <c r="F39" s="22" t="s">
        <v>24</v>
      </c>
      <c r="G39" s="22" t="s">
        <v>25</v>
      </c>
      <c r="H39" s="22" t="s">
        <v>139</v>
      </c>
      <c r="I39" s="22" t="s">
        <v>140</v>
      </c>
      <c r="J39" s="22" t="s">
        <v>28</v>
      </c>
      <c r="K39" s="125">
        <v>1627.757208</v>
      </c>
      <c r="L39" s="125">
        <v>1469.8924560000005</v>
      </c>
      <c r="M39" s="125">
        <v>1469.8924560000005</v>
      </c>
      <c r="N39" s="125">
        <v>1460.0424</v>
      </c>
      <c r="O39" s="125">
        <v>1460.0424</v>
      </c>
      <c r="P39" s="125">
        <v>5.1684889179999898</v>
      </c>
      <c r="Q39" s="126">
        <v>43466</v>
      </c>
      <c r="R39" s="22"/>
      <c r="S39" s="22" t="s">
        <v>41</v>
      </c>
      <c r="T39" s="22" t="s">
        <v>47</v>
      </c>
      <c r="U39" s="22" t="s">
        <v>47</v>
      </c>
      <c r="V39" s="128">
        <v>7597.12286948779</v>
      </c>
      <c r="W39" s="128">
        <v>7597.12286948779</v>
      </c>
      <c r="X39" s="128">
        <v>7546.2129642101081</v>
      </c>
      <c r="Y39" s="127">
        <v>0.3</v>
      </c>
      <c r="Z39" s="127">
        <v>0.3</v>
      </c>
      <c r="AA39" s="128">
        <v>2279.1368608463367</v>
      </c>
      <c r="AB39" s="128">
        <v>2279.1368608463367</v>
      </c>
      <c r="AC39" s="127">
        <v>0.65</v>
      </c>
      <c r="AD39" s="127">
        <v>0.35</v>
      </c>
      <c r="AE39" s="160">
        <v>2279.1368608463367</v>
      </c>
      <c r="AF39" s="164">
        <f>_xlfn.IFNA(INDEX('PGM Values'!$D$9:$D$17,MATCH('Raw Forecasting NPS Data'!$C39,'PGM Values'!$B$9:$B$17,0)),0)</f>
        <v>15251</v>
      </c>
      <c r="AG39" s="129">
        <f>_xlfn.IFNA(INDEX('PGM Values'!$C$9:$C$17,MATCH('Raw Forecasting NPS Data'!$C39,'PGM Values'!$B$9:$B$17,0)),0)</f>
        <v>7625.5</v>
      </c>
      <c r="AH39" s="129">
        <f t="shared" si="5"/>
        <v>34759116.264767483</v>
      </c>
      <c r="AI39" s="165">
        <f t="shared" si="6"/>
        <v>17379558.132383741</v>
      </c>
    </row>
    <row r="40" spans="3:35" x14ac:dyDescent="0.35">
      <c r="C40" s="180" t="str">
        <f>INDEX('Finance to Brand Mapping'!$D$7:$D$100,MATCH('Raw Forecasting NPS Data'!$I40,'Finance to Brand Mapping'!$C$7:$C$100,0))</f>
        <v>Keytruda-Lenvima</v>
      </c>
      <c r="D40" s="138" t="s">
        <v>141</v>
      </c>
      <c r="E40" s="22" t="s">
        <v>84</v>
      </c>
      <c r="F40" s="22" t="s">
        <v>24</v>
      </c>
      <c r="G40" s="22" t="s">
        <v>25</v>
      </c>
      <c r="H40" s="22" t="s">
        <v>142</v>
      </c>
      <c r="I40" s="22" t="s">
        <v>143</v>
      </c>
      <c r="J40" s="22" t="s">
        <v>28</v>
      </c>
      <c r="K40" s="125">
        <v>0</v>
      </c>
      <c r="L40" s="125">
        <v>273.101406</v>
      </c>
      <c r="M40" s="125">
        <v>728.48504099999991</v>
      </c>
      <c r="N40" s="125">
        <v>674.791698</v>
      </c>
      <c r="O40" s="125">
        <v>549.09182299999986</v>
      </c>
      <c r="P40" s="125">
        <v>7.4220140239999903</v>
      </c>
      <c r="Q40" s="126">
        <v>45383</v>
      </c>
      <c r="R40" s="22" t="s">
        <v>144</v>
      </c>
      <c r="S40" s="22">
        <v>24</v>
      </c>
      <c r="T40" s="22" t="s">
        <v>30</v>
      </c>
      <c r="U40" s="22" t="s">
        <v>31</v>
      </c>
      <c r="V40" s="128">
        <v>2026.9624653061151</v>
      </c>
      <c r="W40" s="128">
        <v>5406.8261905762074</v>
      </c>
      <c r="X40" s="128">
        <v>5008.3134458347658</v>
      </c>
      <c r="Y40" s="127">
        <v>1</v>
      </c>
      <c r="Z40" s="127">
        <v>1</v>
      </c>
      <c r="AA40" s="128">
        <v>2026.9624653061151</v>
      </c>
      <c r="AB40" s="128">
        <v>5406.8261905762074</v>
      </c>
      <c r="AC40" s="127">
        <v>0.45</v>
      </c>
      <c r="AD40" s="127">
        <v>0.55000000000000004</v>
      </c>
      <c r="AE40" s="160">
        <v>3885.8875142046663</v>
      </c>
      <c r="AF40" s="164">
        <f>_xlfn.IFNA(INDEX('PGM Values'!$D$9:$D$17,MATCH('Raw Forecasting NPS Data'!$C40,'PGM Values'!$B$9:$B$17,0)),0)</f>
        <v>26793</v>
      </c>
      <c r="AG40" s="129">
        <f>_xlfn.IFNA(INDEX('PGM Values'!$C$9:$C$17,MATCH('Raw Forecasting NPS Data'!$C40,'PGM Values'!$B$9:$B$17,0)),0)</f>
        <v>19167.5</v>
      </c>
      <c r="AH40" s="129">
        <f t="shared" si="5"/>
        <v>104114584.16808562</v>
      </c>
      <c r="AI40" s="165">
        <f t="shared" si="6"/>
        <v>74482748.928517938</v>
      </c>
    </row>
    <row r="41" spans="3:35" x14ac:dyDescent="0.35">
      <c r="C41" s="180" t="str">
        <f>INDEX('Finance to Brand Mapping'!$D$7:$D$100,MATCH('Raw Forecasting NPS Data'!$I41,'Finance to Brand Mapping'!$C$7:$C$100,0))</f>
        <v>Keytruda-Lenvima</v>
      </c>
      <c r="D41" s="138" t="s">
        <v>141</v>
      </c>
      <c r="E41" s="22" t="s">
        <v>84</v>
      </c>
      <c r="F41" s="22" t="s">
        <v>44</v>
      </c>
      <c r="G41" s="22" t="s">
        <v>25</v>
      </c>
      <c r="H41" s="22" t="s">
        <v>145</v>
      </c>
      <c r="I41" s="22" t="s">
        <v>146</v>
      </c>
      <c r="J41" s="22" t="s">
        <v>28</v>
      </c>
      <c r="K41" s="125">
        <v>0</v>
      </c>
      <c r="L41" s="125">
        <v>0</v>
      </c>
      <c r="M41" s="125">
        <v>260.58383900000001</v>
      </c>
      <c r="N41" s="125">
        <v>1981.2502509999997</v>
      </c>
      <c r="O41" s="125">
        <v>1798.137653</v>
      </c>
      <c r="P41" s="125">
        <v>8.1721279070000001</v>
      </c>
      <c r="Q41" s="126">
        <v>45902</v>
      </c>
      <c r="R41" s="22" t="s">
        <v>147</v>
      </c>
      <c r="S41" s="22">
        <v>25</v>
      </c>
      <c r="T41" s="22" t="s">
        <v>104</v>
      </c>
      <c r="U41" s="22" t="s">
        <v>73</v>
      </c>
      <c r="V41" s="128">
        <v>0</v>
      </c>
      <c r="W41" s="128">
        <v>2129.524462805095</v>
      </c>
      <c r="X41" s="128">
        <v>16191.030466947852</v>
      </c>
      <c r="Y41" s="127">
        <v>1</v>
      </c>
      <c r="Z41" s="127">
        <v>1</v>
      </c>
      <c r="AA41" s="128">
        <v>0</v>
      </c>
      <c r="AB41" s="128">
        <v>2129.524462805095</v>
      </c>
      <c r="AC41" s="127">
        <v>0</v>
      </c>
      <c r="AD41" s="127">
        <v>0.7</v>
      </c>
      <c r="AE41" s="160">
        <v>1490.6671239635664</v>
      </c>
      <c r="AF41" s="164">
        <f>_xlfn.IFNA(INDEX('PGM Values'!$D$9:$D$17,MATCH('Raw Forecasting NPS Data'!$C41,'PGM Values'!$B$9:$B$17,0)),0)</f>
        <v>26793</v>
      </c>
      <c r="AG41" s="129">
        <f>_xlfn.IFNA(INDEX('PGM Values'!$C$9:$C$17,MATCH('Raw Forecasting NPS Data'!$C41,'PGM Values'!$B$9:$B$17,0)),0)</f>
        <v>19167.5</v>
      </c>
      <c r="AH41" s="129">
        <f t="shared" si="5"/>
        <v>39939444.252355836</v>
      </c>
      <c r="AI41" s="165">
        <f t="shared" si="6"/>
        <v>28572362.098571658</v>
      </c>
    </row>
    <row r="42" spans="3:35" x14ac:dyDescent="0.35">
      <c r="C42" s="180" t="str">
        <f>INDEX('Finance to Brand Mapping'!$D$7:$D$100,MATCH('Raw Forecasting NPS Data'!$I42,'Finance to Brand Mapping'!$C$7:$C$100,0))</f>
        <v>Keytruda</v>
      </c>
      <c r="D42" s="138" t="s">
        <v>141</v>
      </c>
      <c r="E42" s="22" t="s">
        <v>120</v>
      </c>
      <c r="F42" s="22" t="s">
        <v>24</v>
      </c>
      <c r="G42" s="22" t="s">
        <v>25</v>
      </c>
      <c r="H42" s="22" t="s">
        <v>148</v>
      </c>
      <c r="I42" s="22" t="s">
        <v>149</v>
      </c>
      <c r="J42" s="22" t="s">
        <v>28</v>
      </c>
      <c r="K42" s="125">
        <v>3835.3112149999997</v>
      </c>
      <c r="L42" s="125">
        <v>3646.6857880000002</v>
      </c>
      <c r="M42" s="125">
        <v>3224.747804000001</v>
      </c>
      <c r="N42" s="125">
        <v>2720.15616</v>
      </c>
      <c r="O42" s="125">
        <v>2198.2843040000002</v>
      </c>
      <c r="P42" s="125">
        <v>7.34</v>
      </c>
      <c r="Q42" s="126">
        <v>43618</v>
      </c>
      <c r="R42" s="22" t="s">
        <v>150</v>
      </c>
      <c r="S42" s="22" t="s">
        <v>41</v>
      </c>
      <c r="T42" s="22" t="s">
        <v>47</v>
      </c>
      <c r="U42" s="22" t="s">
        <v>47</v>
      </c>
      <c r="V42" s="128">
        <v>26766.673683920002</v>
      </c>
      <c r="W42" s="128">
        <v>23669.648881360008</v>
      </c>
      <c r="X42" s="128">
        <v>19965.946214399999</v>
      </c>
      <c r="Y42" s="127">
        <v>0.3</v>
      </c>
      <c r="Z42" s="127">
        <v>0.3</v>
      </c>
      <c r="AA42" s="128">
        <v>8030.0021051760004</v>
      </c>
      <c r="AB42" s="128">
        <v>7100.8946644080024</v>
      </c>
      <c r="AC42" s="127">
        <v>0.65</v>
      </c>
      <c r="AD42" s="127">
        <v>0.35</v>
      </c>
      <c r="AE42" s="160">
        <v>7704.8145009072014</v>
      </c>
      <c r="AF42" s="164">
        <f>_xlfn.IFNA(INDEX('PGM Values'!$D$9:$D$17,MATCH('Raw Forecasting NPS Data'!$C42,'PGM Values'!$B$9:$B$17,0)),0)</f>
        <v>11542</v>
      </c>
      <c r="AG42" s="129">
        <f>_xlfn.IFNA(INDEX('PGM Values'!$C$9:$C$17,MATCH('Raw Forecasting NPS Data'!$C42,'PGM Values'!$B$9:$B$17,0)),0)</f>
        <v>11542</v>
      </c>
      <c r="AH42" s="129">
        <f t="shared" si="5"/>
        <v>88928968.969470918</v>
      </c>
      <c r="AI42" s="165">
        <f t="shared" si="6"/>
        <v>88928968.969470918</v>
      </c>
    </row>
    <row r="43" spans="3:35" x14ac:dyDescent="0.35">
      <c r="C43" s="180" t="str">
        <f>INDEX('Finance to Brand Mapping'!$D$7:$D$100,MATCH('Raw Forecasting NPS Data'!$I43,'Finance to Brand Mapping'!$C$7:$C$100,0))</f>
        <v>Keytruda</v>
      </c>
      <c r="D43" s="138" t="s">
        <v>141</v>
      </c>
      <c r="E43" s="22" t="s">
        <v>43</v>
      </c>
      <c r="F43" s="22" t="s">
        <v>24</v>
      </c>
      <c r="G43" s="22" t="s">
        <v>25</v>
      </c>
      <c r="H43" s="22" t="s">
        <v>151</v>
      </c>
      <c r="I43" s="22" t="s">
        <v>149</v>
      </c>
      <c r="J43" s="22" t="s">
        <v>28</v>
      </c>
      <c r="K43" s="125">
        <v>5368.8443040000002</v>
      </c>
      <c r="L43" s="125">
        <v>5473.2605240000003</v>
      </c>
      <c r="M43" s="125">
        <v>5522.8327169999993</v>
      </c>
      <c r="N43" s="125">
        <v>4783.9837150000003</v>
      </c>
      <c r="O43" s="125">
        <v>3891.3508509999997</v>
      </c>
      <c r="P43" s="125">
        <v>6.85</v>
      </c>
      <c r="Q43" s="126">
        <v>43101</v>
      </c>
      <c r="R43" s="22" t="s">
        <v>150</v>
      </c>
      <c r="S43" s="22" t="s">
        <v>41</v>
      </c>
      <c r="T43" s="22" t="s">
        <v>57</v>
      </c>
      <c r="U43" s="22" t="s">
        <v>47</v>
      </c>
      <c r="V43" s="128">
        <v>37491.834589400001</v>
      </c>
      <c r="W43" s="128">
        <v>37831.404111449992</v>
      </c>
      <c r="X43" s="128">
        <v>32770.288447749997</v>
      </c>
      <c r="Y43" s="127">
        <v>0.3</v>
      </c>
      <c r="Z43" s="127">
        <v>0.3</v>
      </c>
      <c r="AA43" s="128">
        <v>11247.55037682</v>
      </c>
      <c r="AB43" s="128">
        <v>11349.421233434998</v>
      </c>
      <c r="AC43" s="127">
        <v>0.65</v>
      </c>
      <c r="AD43" s="127">
        <v>0.35</v>
      </c>
      <c r="AE43" s="160">
        <v>11283.205176635249</v>
      </c>
      <c r="AF43" s="164">
        <f>_xlfn.IFNA(INDEX('PGM Values'!$D$9:$D$17,MATCH('Raw Forecasting NPS Data'!$C43,'PGM Values'!$B$9:$B$17,0)),0)</f>
        <v>11542</v>
      </c>
      <c r="AG43" s="129">
        <f>_xlfn.IFNA(INDEX('PGM Values'!$C$9:$C$17,MATCH('Raw Forecasting NPS Data'!$C43,'PGM Values'!$B$9:$B$17,0)),0)</f>
        <v>11542</v>
      </c>
      <c r="AH43" s="129">
        <f t="shared" si="5"/>
        <v>130230754.14872403</v>
      </c>
      <c r="AI43" s="165">
        <f t="shared" si="6"/>
        <v>130230754.14872403</v>
      </c>
    </row>
    <row r="44" spans="3:35" x14ac:dyDescent="0.35">
      <c r="C44" s="180" t="str">
        <f>INDEX('Finance to Brand Mapping'!$D$7:$D$100,MATCH('Raw Forecasting NPS Data'!$I44,'Finance to Brand Mapping'!$C$7:$C$100,0))</f>
        <v>Keytruda</v>
      </c>
      <c r="D44" s="138" t="s">
        <v>141</v>
      </c>
      <c r="E44" s="22" t="s">
        <v>43</v>
      </c>
      <c r="F44" s="22" t="s">
        <v>44</v>
      </c>
      <c r="G44" s="22" t="s">
        <v>25</v>
      </c>
      <c r="H44" s="22" t="s">
        <v>152</v>
      </c>
      <c r="I44" s="22" t="s">
        <v>153</v>
      </c>
      <c r="J44" s="22" t="s">
        <v>28</v>
      </c>
      <c r="K44" s="125">
        <v>1928.4144079999996</v>
      </c>
      <c r="L44" s="125">
        <v>1980.2452679999997</v>
      </c>
      <c r="M44" s="125">
        <v>1978.799133</v>
      </c>
      <c r="N44" s="125">
        <v>1671.0378280000002</v>
      </c>
      <c r="O44" s="125">
        <v>1309.9315839999999</v>
      </c>
      <c r="P44" s="125">
        <v>7.95</v>
      </c>
      <c r="Q44" s="126">
        <v>43101</v>
      </c>
      <c r="R44" s="22" t="s">
        <v>154</v>
      </c>
      <c r="S44" s="22" t="s">
        <v>41</v>
      </c>
      <c r="T44" s="22" t="s">
        <v>57</v>
      </c>
      <c r="U44" s="22" t="s">
        <v>47</v>
      </c>
      <c r="V44" s="128">
        <v>15742.949880599997</v>
      </c>
      <c r="W44" s="128">
        <v>15731.45310735</v>
      </c>
      <c r="X44" s="128">
        <v>13284.750732600001</v>
      </c>
      <c r="Y44" s="127">
        <v>0.3</v>
      </c>
      <c r="Z44" s="127">
        <v>0.3</v>
      </c>
      <c r="AA44" s="128">
        <v>4722.8849641799989</v>
      </c>
      <c r="AB44" s="128">
        <v>4719.4359322049995</v>
      </c>
      <c r="AC44" s="127">
        <v>0.65</v>
      </c>
      <c r="AD44" s="127">
        <v>0.35</v>
      </c>
      <c r="AE44" s="160">
        <v>4721.6778029887491</v>
      </c>
      <c r="AF44" s="164">
        <f>_xlfn.IFNA(INDEX('PGM Values'!$D$9:$D$17,MATCH('Raw Forecasting NPS Data'!$C44,'PGM Values'!$B$9:$B$17,0)),0)</f>
        <v>11542</v>
      </c>
      <c r="AG44" s="129">
        <f>_xlfn.IFNA(INDEX('PGM Values'!$C$9:$C$17,MATCH('Raw Forecasting NPS Data'!$C44,'PGM Values'!$B$9:$B$17,0)),0)</f>
        <v>11542</v>
      </c>
      <c r="AH44" s="129">
        <f t="shared" si="5"/>
        <v>54497605.202096142</v>
      </c>
      <c r="AI44" s="165">
        <f t="shared" si="6"/>
        <v>54497605.202096142</v>
      </c>
    </row>
    <row r="45" spans="3:35" x14ac:dyDescent="0.35">
      <c r="C45" s="180" t="str">
        <f>INDEX('Finance to Brand Mapping'!$D$7:$D$100,MATCH('Raw Forecasting NPS Data'!$I45,'Finance to Brand Mapping'!$C$7:$C$100,0))</f>
        <v>Keytruda</v>
      </c>
      <c r="D45" s="138" t="s">
        <v>141</v>
      </c>
      <c r="E45" s="22" t="s">
        <v>43</v>
      </c>
      <c r="F45" s="22" t="s">
        <v>112</v>
      </c>
      <c r="G45" s="22" t="s">
        <v>25</v>
      </c>
      <c r="H45" s="22" t="s">
        <v>155</v>
      </c>
      <c r="I45" s="22" t="s">
        <v>156</v>
      </c>
      <c r="J45" s="22" t="s">
        <v>28</v>
      </c>
      <c r="K45" s="125">
        <v>0</v>
      </c>
      <c r="L45" s="125">
        <v>0</v>
      </c>
      <c r="M45" s="125">
        <v>194.585128</v>
      </c>
      <c r="N45" s="125">
        <v>1326.491773</v>
      </c>
      <c r="O45" s="125">
        <v>1346.500591</v>
      </c>
      <c r="P45" s="125">
        <v>2</v>
      </c>
      <c r="Q45" s="126">
        <v>45871</v>
      </c>
      <c r="R45" s="22"/>
      <c r="S45" s="22">
        <v>25</v>
      </c>
      <c r="T45" s="22" t="s">
        <v>104</v>
      </c>
      <c r="U45" s="22" t="s">
        <v>73</v>
      </c>
      <c r="V45" s="128">
        <v>0</v>
      </c>
      <c r="W45" s="128">
        <v>389.17025599999999</v>
      </c>
      <c r="X45" s="128">
        <v>2652.9835459999999</v>
      </c>
      <c r="Y45" s="127">
        <v>1</v>
      </c>
      <c r="Z45" s="127">
        <v>1</v>
      </c>
      <c r="AA45" s="128">
        <v>0</v>
      </c>
      <c r="AB45" s="128">
        <v>389.17025599999999</v>
      </c>
      <c r="AC45" s="127">
        <v>0</v>
      </c>
      <c r="AD45" s="127">
        <v>0.7</v>
      </c>
      <c r="AE45" s="160">
        <v>272.41917919999997</v>
      </c>
      <c r="AF45" s="164">
        <f>_xlfn.IFNA(INDEX('PGM Values'!$D$9:$D$17,MATCH('Raw Forecasting NPS Data'!$C45,'PGM Values'!$B$9:$B$17,0)),0)</f>
        <v>11542</v>
      </c>
      <c r="AG45" s="129">
        <f>_xlfn.IFNA(INDEX('PGM Values'!$C$9:$C$17,MATCH('Raw Forecasting NPS Data'!$C45,'PGM Values'!$B$9:$B$17,0)),0)</f>
        <v>11542</v>
      </c>
      <c r="AH45" s="129">
        <f t="shared" si="5"/>
        <v>3144262.1663263999</v>
      </c>
      <c r="AI45" s="165">
        <f t="shared" si="6"/>
        <v>3144262.1663263999</v>
      </c>
    </row>
    <row r="46" spans="3:35" x14ac:dyDescent="0.35">
      <c r="C46" s="180" t="str">
        <f>INDEX('Finance to Brand Mapping'!$D$7:$D$100,MATCH('Raw Forecasting NPS Data'!$I46,'Finance to Brand Mapping'!$C$7:$C$100,0))</f>
        <v>Keytruda</v>
      </c>
      <c r="D46" s="138" t="s">
        <v>141</v>
      </c>
      <c r="E46" s="22" t="s">
        <v>43</v>
      </c>
      <c r="F46" s="22" t="s">
        <v>157</v>
      </c>
      <c r="G46" s="22" t="s">
        <v>25</v>
      </c>
      <c r="H46" s="22" t="s">
        <v>158</v>
      </c>
      <c r="I46" s="22" t="s">
        <v>156</v>
      </c>
      <c r="J46" s="22" t="s">
        <v>28</v>
      </c>
      <c r="K46" s="125">
        <v>0</v>
      </c>
      <c r="L46" s="125">
        <v>0</v>
      </c>
      <c r="M46" s="125">
        <v>583.75538400000005</v>
      </c>
      <c r="N46" s="125">
        <v>3979.4753250000003</v>
      </c>
      <c r="O46" s="125">
        <v>4039.5017719999996</v>
      </c>
      <c r="P46" s="125">
        <v>9.01</v>
      </c>
      <c r="Q46" s="126">
        <v>45871</v>
      </c>
      <c r="R46" s="22"/>
      <c r="S46" s="22">
        <v>25</v>
      </c>
      <c r="T46" s="22" t="s">
        <v>104</v>
      </c>
      <c r="U46" s="22" t="s">
        <v>73</v>
      </c>
      <c r="V46" s="128">
        <v>0</v>
      </c>
      <c r="W46" s="128">
        <v>5259.63600984</v>
      </c>
      <c r="X46" s="128">
        <v>35855.072678249999</v>
      </c>
      <c r="Y46" s="127">
        <v>1</v>
      </c>
      <c r="Z46" s="127">
        <v>1</v>
      </c>
      <c r="AA46" s="128">
        <v>0</v>
      </c>
      <c r="AB46" s="128">
        <v>5259.63600984</v>
      </c>
      <c r="AC46" s="127">
        <v>0</v>
      </c>
      <c r="AD46" s="127">
        <v>0.7</v>
      </c>
      <c r="AE46" s="160">
        <v>3681.7452068879998</v>
      </c>
      <c r="AF46" s="164">
        <f>_xlfn.IFNA(INDEX('PGM Values'!$D$9:$D$17,MATCH('Raw Forecasting NPS Data'!$C46,'PGM Values'!$B$9:$B$17,0)),0)</f>
        <v>11542</v>
      </c>
      <c r="AG46" s="129">
        <f>_xlfn.IFNA(INDEX('PGM Values'!$C$9:$C$17,MATCH('Raw Forecasting NPS Data'!$C46,'PGM Values'!$B$9:$B$17,0)),0)</f>
        <v>11542</v>
      </c>
      <c r="AH46" s="129">
        <f t="shared" si="5"/>
        <v>42494703.17790129</v>
      </c>
      <c r="AI46" s="165">
        <f t="shared" si="6"/>
        <v>42494703.17790129</v>
      </c>
    </row>
    <row r="47" spans="3:35" x14ac:dyDescent="0.35">
      <c r="C47" s="180" t="str">
        <f>INDEX('Finance to Brand Mapping'!$D$7:$D$100,MATCH('Raw Forecasting NPS Data'!$I47,'Finance to Brand Mapping'!$C$7:$C$100,0))</f>
        <v>New Product</v>
      </c>
      <c r="D47" s="138" t="s">
        <v>159</v>
      </c>
      <c r="E47" s="22" t="s">
        <v>49</v>
      </c>
      <c r="F47" s="22">
        <v>3</v>
      </c>
      <c r="G47" s="22" t="s">
        <v>25</v>
      </c>
      <c r="H47" s="22" t="s">
        <v>160</v>
      </c>
      <c r="I47" s="22" t="s">
        <v>52</v>
      </c>
      <c r="J47" s="22" t="s">
        <v>28</v>
      </c>
      <c r="K47" s="125">
        <v>0</v>
      </c>
      <c r="L47" s="125">
        <v>0</v>
      </c>
      <c r="M47" s="125">
        <v>0</v>
      </c>
      <c r="N47" s="125">
        <v>0</v>
      </c>
      <c r="O47" s="125">
        <v>60.133837999999997</v>
      </c>
      <c r="P47" s="125">
        <v>13.023677353</v>
      </c>
      <c r="Q47" s="126">
        <v>46420</v>
      </c>
      <c r="R47" s="22"/>
      <c r="S47" s="22" t="s">
        <v>103</v>
      </c>
      <c r="T47" s="22" t="s">
        <v>104</v>
      </c>
      <c r="U47" s="22" t="s">
        <v>72</v>
      </c>
      <c r="V47" s="128">
        <v>0</v>
      </c>
      <c r="W47" s="128">
        <v>0</v>
      </c>
      <c r="X47" s="128">
        <v>0</v>
      </c>
      <c r="Y47" s="127" t="s">
        <v>72</v>
      </c>
      <c r="Z47" s="127" t="s">
        <v>72</v>
      </c>
      <c r="AA47" s="128" t="s">
        <v>32</v>
      </c>
      <c r="AB47" s="128" t="s">
        <v>32</v>
      </c>
      <c r="AC47" s="127" t="s">
        <v>72</v>
      </c>
      <c r="AD47" s="127" t="s">
        <v>72</v>
      </c>
      <c r="AE47" s="160">
        <v>0</v>
      </c>
      <c r="AF47" s="164">
        <f>_xlfn.IFNA(INDEX('PGM Values'!$D$9:$D$17,MATCH('Raw Forecasting NPS Data'!$C47,'PGM Values'!$B$9:$B$17,0)),0)</f>
        <v>0</v>
      </c>
      <c r="AG47" s="129">
        <f>_xlfn.IFNA(INDEX('PGM Values'!$C$9:$C$17,MATCH('Raw Forecasting NPS Data'!$C47,'PGM Values'!$B$9:$B$17,0)),0)</f>
        <v>0</v>
      </c>
      <c r="AH47" s="129">
        <f t="shared" si="5"/>
        <v>0</v>
      </c>
      <c r="AI47" s="165">
        <f t="shared" si="6"/>
        <v>0</v>
      </c>
    </row>
    <row r="48" spans="3:35" x14ac:dyDescent="0.35">
      <c r="C48" s="180" t="str">
        <f>INDEX('Finance to Brand Mapping'!$D$7:$D$100,MATCH('Raw Forecasting NPS Data'!$I48,'Finance to Brand Mapping'!$C$7:$C$100,0))</f>
        <v>New Product</v>
      </c>
      <c r="D48" s="138" t="s">
        <v>159</v>
      </c>
      <c r="E48" s="22" t="s">
        <v>49</v>
      </c>
      <c r="F48" s="22">
        <v>4</v>
      </c>
      <c r="G48" s="22" t="s">
        <v>25</v>
      </c>
      <c r="H48" s="22" t="s">
        <v>161</v>
      </c>
      <c r="I48" s="22" t="s">
        <v>52</v>
      </c>
      <c r="J48" s="22" t="s">
        <v>28</v>
      </c>
      <c r="K48" s="125">
        <v>0</v>
      </c>
      <c r="L48" s="125">
        <v>0</v>
      </c>
      <c r="M48" s="125">
        <v>0</v>
      </c>
      <c r="N48" s="125">
        <v>0</v>
      </c>
      <c r="O48" s="125">
        <v>16.960827000000002</v>
      </c>
      <c r="P48" s="125">
        <v>13.023677353</v>
      </c>
      <c r="Q48" s="126">
        <v>46423</v>
      </c>
      <c r="R48" s="22"/>
      <c r="S48" s="22" t="s">
        <v>103</v>
      </c>
      <c r="T48" s="22" t="s">
        <v>104</v>
      </c>
      <c r="U48" s="22" t="s">
        <v>72</v>
      </c>
      <c r="V48" s="128">
        <v>0</v>
      </c>
      <c r="W48" s="128">
        <v>0</v>
      </c>
      <c r="X48" s="128">
        <v>0</v>
      </c>
      <c r="Y48" s="127" t="s">
        <v>72</v>
      </c>
      <c r="Z48" s="127" t="s">
        <v>72</v>
      </c>
      <c r="AA48" s="128" t="s">
        <v>32</v>
      </c>
      <c r="AB48" s="128" t="s">
        <v>32</v>
      </c>
      <c r="AC48" s="127" t="s">
        <v>72</v>
      </c>
      <c r="AD48" s="127" t="s">
        <v>72</v>
      </c>
      <c r="AE48" s="160">
        <v>0</v>
      </c>
      <c r="AF48" s="164">
        <f>_xlfn.IFNA(INDEX('PGM Values'!$D$9:$D$17,MATCH('Raw Forecasting NPS Data'!$C48,'PGM Values'!$B$9:$B$17,0)),0)</f>
        <v>0</v>
      </c>
      <c r="AG48" s="129">
        <f>_xlfn.IFNA(INDEX('PGM Values'!$C$9:$C$17,MATCH('Raw Forecasting NPS Data'!$C48,'PGM Values'!$B$9:$B$17,0)),0)</f>
        <v>0</v>
      </c>
      <c r="AH48" s="129">
        <f t="shared" si="5"/>
        <v>0</v>
      </c>
      <c r="AI48" s="165">
        <f t="shared" si="6"/>
        <v>0</v>
      </c>
    </row>
    <row r="49" spans="3:35" x14ac:dyDescent="0.35">
      <c r="C49" s="180" t="str">
        <f>INDEX('Finance to Brand Mapping'!$D$7:$D$100,MATCH('Raw Forecasting NPS Data'!$I49,'Finance to Brand Mapping'!$C$7:$C$100,0))</f>
        <v>Keytruda</v>
      </c>
      <c r="D49" s="138" t="s">
        <v>159</v>
      </c>
      <c r="E49" s="22" t="s">
        <v>43</v>
      </c>
      <c r="F49" s="22" t="s">
        <v>44</v>
      </c>
      <c r="G49" s="22" t="s">
        <v>25</v>
      </c>
      <c r="H49" s="22" t="s">
        <v>162</v>
      </c>
      <c r="I49" s="22" t="s">
        <v>163</v>
      </c>
      <c r="J49" s="22" t="s">
        <v>28</v>
      </c>
      <c r="K49" s="125">
        <v>1043</v>
      </c>
      <c r="L49" s="125">
        <v>1104</v>
      </c>
      <c r="M49" s="125">
        <v>1104</v>
      </c>
      <c r="N49" s="125">
        <v>1104</v>
      </c>
      <c r="O49" s="125">
        <v>1104</v>
      </c>
      <c r="P49" s="125">
        <v>9.49</v>
      </c>
      <c r="Q49" s="126">
        <v>43101</v>
      </c>
      <c r="R49" s="22" t="s">
        <v>164</v>
      </c>
      <c r="S49" s="22" t="s">
        <v>41</v>
      </c>
      <c r="T49" s="22" t="s">
        <v>57</v>
      </c>
      <c r="U49" s="22" t="s">
        <v>47</v>
      </c>
      <c r="V49" s="128">
        <v>10476.960000000001</v>
      </c>
      <c r="W49" s="128">
        <v>10476.960000000001</v>
      </c>
      <c r="X49" s="128">
        <v>10476.960000000001</v>
      </c>
      <c r="Y49" s="127">
        <v>0.3</v>
      </c>
      <c r="Z49" s="127">
        <v>0.3</v>
      </c>
      <c r="AA49" s="128">
        <v>3143.0880000000002</v>
      </c>
      <c r="AB49" s="128">
        <v>3143.0880000000002</v>
      </c>
      <c r="AC49" s="127">
        <v>0.65</v>
      </c>
      <c r="AD49" s="127">
        <v>0.35</v>
      </c>
      <c r="AE49" s="160">
        <v>3143.0880000000002</v>
      </c>
      <c r="AF49" s="164">
        <f>_xlfn.IFNA(INDEX('PGM Values'!$D$9:$D$17,MATCH('Raw Forecasting NPS Data'!$C49,'PGM Values'!$B$9:$B$17,0)),0)</f>
        <v>11542</v>
      </c>
      <c r="AG49" s="129">
        <f>_xlfn.IFNA(INDEX('PGM Values'!$C$9:$C$17,MATCH('Raw Forecasting NPS Data'!$C49,'PGM Values'!$B$9:$B$17,0)),0)</f>
        <v>11542</v>
      </c>
      <c r="AH49" s="129">
        <f t="shared" si="5"/>
        <v>36277521.696000002</v>
      </c>
      <c r="AI49" s="165">
        <f t="shared" si="6"/>
        <v>36277521.696000002</v>
      </c>
    </row>
    <row r="50" spans="3:35" x14ac:dyDescent="0.35">
      <c r="C50" s="180" t="str">
        <f>INDEX('Finance to Brand Mapping'!$D$7:$D$100,MATCH('Raw Forecasting NPS Data'!$I50,'Finance to Brand Mapping'!$C$7:$C$100,0))</f>
        <v>Keytruda</v>
      </c>
      <c r="D50" s="138" t="s">
        <v>165</v>
      </c>
      <c r="E50" s="22" t="s">
        <v>75</v>
      </c>
      <c r="F50" s="22">
        <v>1</v>
      </c>
      <c r="G50" s="22" t="s">
        <v>166</v>
      </c>
      <c r="H50" s="22" t="s">
        <v>167</v>
      </c>
      <c r="I50" s="22" t="s">
        <v>168</v>
      </c>
      <c r="J50" s="22" t="s">
        <v>28</v>
      </c>
      <c r="K50" s="125">
        <v>0</v>
      </c>
      <c r="L50" s="125">
        <v>0</v>
      </c>
      <c r="M50" s="125">
        <v>2.8330770000000003</v>
      </c>
      <c r="N50" s="125">
        <v>125.23534500000001</v>
      </c>
      <c r="O50" s="125">
        <v>171.31492499999999</v>
      </c>
      <c r="P50" s="125">
        <v>12.000094246</v>
      </c>
      <c r="Q50" s="126">
        <v>45963</v>
      </c>
      <c r="R50" s="22"/>
      <c r="S50" s="22">
        <v>25</v>
      </c>
      <c r="T50" s="22" t="s">
        <v>104</v>
      </c>
      <c r="U50" s="22" t="s">
        <v>73</v>
      </c>
      <c r="V50" s="128">
        <v>0</v>
      </c>
      <c r="W50" s="128">
        <v>33.997191006174944</v>
      </c>
      <c r="X50" s="128">
        <v>1502.835942930325</v>
      </c>
      <c r="Y50" s="127">
        <v>1</v>
      </c>
      <c r="Z50" s="127">
        <v>1</v>
      </c>
      <c r="AA50" s="128">
        <v>0</v>
      </c>
      <c r="AB50" s="128">
        <v>33.997191006174944</v>
      </c>
      <c r="AC50" s="127">
        <v>0</v>
      </c>
      <c r="AD50" s="127">
        <v>0.7</v>
      </c>
      <c r="AE50" s="160">
        <v>23.79803370432246</v>
      </c>
      <c r="AF50" s="164">
        <f>_xlfn.IFNA(INDEX('PGM Values'!$D$9:$D$17,MATCH('Raw Forecasting NPS Data'!$C50,'PGM Values'!$B$9:$B$17,0)),0)</f>
        <v>11542</v>
      </c>
      <c r="AG50" s="129">
        <f>_xlfn.IFNA(INDEX('PGM Values'!$C$9:$C$17,MATCH('Raw Forecasting NPS Data'!$C50,'PGM Values'!$B$9:$B$17,0)),0)</f>
        <v>11542</v>
      </c>
      <c r="AH50" s="129">
        <f t="shared" si="5"/>
        <v>274676.90501528984</v>
      </c>
      <c r="AI50" s="165">
        <f t="shared" si="6"/>
        <v>274676.90501528984</v>
      </c>
    </row>
    <row r="51" spans="3:35" x14ac:dyDescent="0.35">
      <c r="C51" s="180" t="str">
        <f>INDEX('Finance to Brand Mapping'!$D$7:$D$100,MATCH('Raw Forecasting NPS Data'!$I51,'Finance to Brand Mapping'!$C$7:$C$100,0))</f>
        <v>Keytruda</v>
      </c>
      <c r="D51" s="138" t="s">
        <v>165</v>
      </c>
      <c r="E51" s="22" t="s">
        <v>75</v>
      </c>
      <c r="F51" s="22">
        <v>2</v>
      </c>
      <c r="G51" s="22" t="s">
        <v>166</v>
      </c>
      <c r="H51" s="22" t="s">
        <v>169</v>
      </c>
      <c r="I51" s="22" t="s">
        <v>168</v>
      </c>
      <c r="J51" s="22" t="s">
        <v>28</v>
      </c>
      <c r="K51" s="125">
        <v>0</v>
      </c>
      <c r="L51" s="125">
        <v>0</v>
      </c>
      <c r="M51" s="125">
        <v>2.0494149999999998</v>
      </c>
      <c r="N51" s="125">
        <v>82.370483999999976</v>
      </c>
      <c r="O51" s="125">
        <v>103.693168</v>
      </c>
      <c r="P51" s="125">
        <v>8.0001793550000002</v>
      </c>
      <c r="Q51" s="126">
        <v>45963</v>
      </c>
      <c r="R51" s="22"/>
      <c r="S51" s="22">
        <v>25</v>
      </c>
      <c r="T51" s="22" t="s">
        <v>104</v>
      </c>
      <c r="U51" s="22" t="s">
        <v>73</v>
      </c>
      <c r="V51" s="128">
        <v>0</v>
      </c>
      <c r="W51" s="128">
        <v>16.395687572827324</v>
      </c>
      <c r="X51" s="128">
        <v>658.97864555815761</v>
      </c>
      <c r="Y51" s="127">
        <v>1</v>
      </c>
      <c r="Z51" s="127">
        <v>1</v>
      </c>
      <c r="AA51" s="128">
        <v>0</v>
      </c>
      <c r="AB51" s="128">
        <v>16.395687572827324</v>
      </c>
      <c r="AC51" s="127">
        <v>0</v>
      </c>
      <c r="AD51" s="127">
        <v>0.7</v>
      </c>
      <c r="AE51" s="160">
        <v>11.476981300979126</v>
      </c>
      <c r="AF51" s="164">
        <f>_xlfn.IFNA(INDEX('PGM Values'!$D$9:$D$17,MATCH('Raw Forecasting NPS Data'!$C51,'PGM Values'!$B$9:$B$17,0)),0)</f>
        <v>11542</v>
      </c>
      <c r="AG51" s="129">
        <f>_xlfn.IFNA(INDEX('PGM Values'!$C$9:$C$17,MATCH('Raw Forecasting NPS Data'!$C51,'PGM Values'!$B$9:$B$17,0)),0)</f>
        <v>11542</v>
      </c>
      <c r="AH51" s="129">
        <f t="shared" si="5"/>
        <v>132467.31817590108</v>
      </c>
      <c r="AI51" s="165">
        <f t="shared" si="6"/>
        <v>132467.31817590108</v>
      </c>
    </row>
    <row r="52" spans="3:35" x14ac:dyDescent="0.35">
      <c r="C52" s="180" t="str">
        <f>INDEX('Finance to Brand Mapping'!$D$7:$D$100,MATCH('Raw Forecasting NPS Data'!$I52,'Finance to Brand Mapping'!$C$7:$C$100,0))</f>
        <v>Keytruda</v>
      </c>
      <c r="D52" s="138" t="s">
        <v>165</v>
      </c>
      <c r="E52" s="22" t="s">
        <v>75</v>
      </c>
      <c r="F52" s="22">
        <v>3</v>
      </c>
      <c r="G52" s="22" t="s">
        <v>166</v>
      </c>
      <c r="H52" s="22" t="s">
        <v>170</v>
      </c>
      <c r="I52" s="22" t="s">
        <v>168</v>
      </c>
      <c r="J52" s="22" t="s">
        <v>28</v>
      </c>
      <c r="K52" s="125">
        <v>0</v>
      </c>
      <c r="L52" s="125">
        <v>0</v>
      </c>
      <c r="M52" s="125">
        <v>1.814899</v>
      </c>
      <c r="N52" s="125">
        <v>112.885406</v>
      </c>
      <c r="O52" s="125">
        <v>161.64646299999998</v>
      </c>
      <c r="P52" s="125">
        <v>8.0001793550000002</v>
      </c>
      <c r="Q52" s="126">
        <v>45963</v>
      </c>
      <c r="R52" s="22"/>
      <c r="S52" s="22">
        <v>25</v>
      </c>
      <c r="T52" s="22" t="s">
        <v>104</v>
      </c>
      <c r="U52" s="22" t="s">
        <v>73</v>
      </c>
      <c r="V52" s="128">
        <v>0</v>
      </c>
      <c r="W52" s="128">
        <v>14.519517511210145</v>
      </c>
      <c r="X52" s="128">
        <v>903.10349456199322</v>
      </c>
      <c r="Y52" s="127" t="s">
        <v>72</v>
      </c>
      <c r="Z52" s="127" t="s">
        <v>72</v>
      </c>
      <c r="AA52" s="128" t="s">
        <v>32</v>
      </c>
      <c r="AB52" s="128" t="s">
        <v>32</v>
      </c>
      <c r="AC52" s="127" t="s">
        <v>72</v>
      </c>
      <c r="AD52" s="127" t="s">
        <v>72</v>
      </c>
      <c r="AE52" s="160">
        <v>0</v>
      </c>
      <c r="AF52" s="164">
        <f>_xlfn.IFNA(INDEX('PGM Values'!$D$9:$D$17,MATCH('Raw Forecasting NPS Data'!$C52,'PGM Values'!$B$9:$B$17,0)),0)</f>
        <v>11542</v>
      </c>
      <c r="AG52" s="129">
        <f>_xlfn.IFNA(INDEX('PGM Values'!$C$9:$C$17,MATCH('Raw Forecasting NPS Data'!$C52,'PGM Values'!$B$9:$B$17,0)),0)</f>
        <v>11542</v>
      </c>
      <c r="AH52" s="129">
        <f t="shared" si="5"/>
        <v>0</v>
      </c>
      <c r="AI52" s="165">
        <f t="shared" si="6"/>
        <v>0</v>
      </c>
    </row>
    <row r="53" spans="3:35" x14ac:dyDescent="0.35">
      <c r="C53" s="180" t="str">
        <f>INDEX('Finance to Brand Mapping'!$D$7:$D$100,MATCH('Raw Forecasting NPS Data'!$I53,'Finance to Brand Mapping'!$C$7:$C$100,0))</f>
        <v>Keytruda</v>
      </c>
      <c r="D53" s="138" t="s">
        <v>171</v>
      </c>
      <c r="E53" s="22" t="s">
        <v>43</v>
      </c>
      <c r="F53" s="22" t="s">
        <v>81</v>
      </c>
      <c r="G53" s="22" t="s">
        <v>25</v>
      </c>
      <c r="H53" s="22" t="s">
        <v>172</v>
      </c>
      <c r="I53" s="22" t="s">
        <v>173</v>
      </c>
      <c r="J53" s="22" t="s">
        <v>28</v>
      </c>
      <c r="K53" s="125">
        <v>2245.482289</v>
      </c>
      <c r="L53" s="125">
        <v>2102.0966210000001</v>
      </c>
      <c r="M53" s="125">
        <v>1982.4255930000002</v>
      </c>
      <c r="N53" s="125">
        <v>1573.4646579999996</v>
      </c>
      <c r="O53" s="125">
        <v>1266.1334040000002</v>
      </c>
      <c r="P53" s="125">
        <v>8.9600000000000009</v>
      </c>
      <c r="Q53" s="126">
        <v>43497</v>
      </c>
      <c r="R53" s="22" t="s">
        <v>174</v>
      </c>
      <c r="S53" s="22" t="s">
        <v>41</v>
      </c>
      <c r="T53" s="22" t="s">
        <v>47</v>
      </c>
      <c r="U53" s="22" t="s">
        <v>47</v>
      </c>
      <c r="V53" s="128">
        <v>18834.785724160003</v>
      </c>
      <c r="W53" s="128">
        <v>17762.533313280004</v>
      </c>
      <c r="X53" s="128">
        <v>14098.243335679997</v>
      </c>
      <c r="Y53" s="127">
        <v>0.3</v>
      </c>
      <c r="Z53" s="127">
        <v>0.3</v>
      </c>
      <c r="AA53" s="128">
        <v>5650.4357172480004</v>
      </c>
      <c r="AB53" s="128">
        <v>5328.7599939840011</v>
      </c>
      <c r="AC53" s="127">
        <v>0.65</v>
      </c>
      <c r="AD53" s="127">
        <v>0.35</v>
      </c>
      <c r="AE53" s="160">
        <v>5537.8492141056004</v>
      </c>
      <c r="AF53" s="164">
        <f>_xlfn.IFNA(INDEX('PGM Values'!$D$9:$D$17,MATCH('Raw Forecasting NPS Data'!$C53,'PGM Values'!$B$9:$B$17,0)),0)</f>
        <v>11542</v>
      </c>
      <c r="AG53" s="129">
        <f>_xlfn.IFNA(INDEX('PGM Values'!$C$9:$C$17,MATCH('Raw Forecasting NPS Data'!$C53,'PGM Values'!$B$9:$B$17,0)),0)</f>
        <v>11542</v>
      </c>
      <c r="AH53" s="129">
        <f t="shared" si="5"/>
        <v>63917855.629206836</v>
      </c>
      <c r="AI53" s="165">
        <f t="shared" si="6"/>
        <v>63917855.629206836</v>
      </c>
    </row>
    <row r="54" spans="3:35" x14ac:dyDescent="0.35">
      <c r="C54" s="180" t="str">
        <f>INDEX('Finance to Brand Mapping'!$D$7:$D$100,MATCH('Raw Forecasting NPS Data'!$I54,'Finance to Brand Mapping'!$C$7:$C$100,0))</f>
        <v>Keytruda</v>
      </c>
      <c r="D54" s="138" t="s">
        <v>175</v>
      </c>
      <c r="E54" s="22" t="s">
        <v>43</v>
      </c>
      <c r="F54" s="22" t="s">
        <v>81</v>
      </c>
      <c r="G54" s="22" t="s">
        <v>25</v>
      </c>
      <c r="H54" s="22" t="s">
        <v>176</v>
      </c>
      <c r="I54" s="22" t="s">
        <v>177</v>
      </c>
      <c r="J54" s="22" t="s">
        <v>28</v>
      </c>
      <c r="K54" s="125">
        <v>2376.7139980000002</v>
      </c>
      <c r="L54" s="125">
        <v>2506.0678609999995</v>
      </c>
      <c r="M54" s="125">
        <v>3057.851224</v>
      </c>
      <c r="N54" s="125">
        <v>3041.4376789999997</v>
      </c>
      <c r="O54" s="125">
        <v>2440.2365440000003</v>
      </c>
      <c r="P54" s="125">
        <v>8.9600000000000009</v>
      </c>
      <c r="Q54" s="126">
        <v>44531</v>
      </c>
      <c r="R54" s="22" t="s">
        <v>178</v>
      </c>
      <c r="S54" s="22" t="s">
        <v>41</v>
      </c>
      <c r="T54" s="22" t="s">
        <v>42</v>
      </c>
      <c r="U54" s="22" t="s">
        <v>42</v>
      </c>
      <c r="V54" s="128">
        <v>22454.368034559997</v>
      </c>
      <c r="W54" s="128">
        <v>27398.346967040001</v>
      </c>
      <c r="X54" s="128">
        <v>27251.281603839998</v>
      </c>
      <c r="Y54" s="127">
        <v>0.8</v>
      </c>
      <c r="Z54" s="127">
        <v>0.6</v>
      </c>
      <c r="AA54" s="128">
        <v>17963.494427647998</v>
      </c>
      <c r="AB54" s="128">
        <v>16439.008180223998</v>
      </c>
      <c r="AC54" s="127">
        <v>0.65</v>
      </c>
      <c r="AD54" s="127">
        <v>0.35</v>
      </c>
      <c r="AE54" s="160">
        <v>17429.924241049597</v>
      </c>
      <c r="AF54" s="164">
        <f>_xlfn.IFNA(INDEX('PGM Values'!$D$9:$D$17,MATCH('Raw Forecasting NPS Data'!$C54,'PGM Values'!$B$9:$B$17,0)),0)</f>
        <v>11542</v>
      </c>
      <c r="AG54" s="129">
        <f>_xlfn.IFNA(INDEX('PGM Values'!$C$9:$C$17,MATCH('Raw Forecasting NPS Data'!$C54,'PGM Values'!$B$9:$B$17,0)),0)</f>
        <v>11542</v>
      </c>
      <c r="AH54" s="129">
        <f t="shared" si="5"/>
        <v>201176185.59019446</v>
      </c>
      <c r="AI54" s="165">
        <f t="shared" si="6"/>
        <v>201176185.59019446</v>
      </c>
    </row>
    <row r="55" spans="3:35" x14ac:dyDescent="0.35">
      <c r="C55" s="180" t="str">
        <f>INDEX('Finance to Brand Mapping'!$D$7:$D$100,MATCH('Raw Forecasting NPS Data'!$I55,'Finance to Brand Mapping'!$C$7:$C$100,0))</f>
        <v>Keytruda</v>
      </c>
      <c r="D55" s="138" t="s">
        <v>179</v>
      </c>
      <c r="E55" s="22" t="s">
        <v>43</v>
      </c>
      <c r="F55" s="22" t="s">
        <v>24</v>
      </c>
      <c r="G55" s="22" t="s">
        <v>25</v>
      </c>
      <c r="H55" s="22" t="s">
        <v>180</v>
      </c>
      <c r="I55" s="22" t="s">
        <v>181</v>
      </c>
      <c r="J55" s="22" t="s">
        <v>28</v>
      </c>
      <c r="K55" s="125">
        <v>3406.9486579999998</v>
      </c>
      <c r="L55" s="125">
        <v>2663.2251079999996</v>
      </c>
      <c r="M55" s="125">
        <v>2614.1495750000004</v>
      </c>
      <c r="N55" s="125">
        <v>2405.1949690000001</v>
      </c>
      <c r="O55" s="125">
        <v>2033.8963670000001</v>
      </c>
      <c r="P55" s="125">
        <v>9.36</v>
      </c>
      <c r="Q55" s="126">
        <v>42005</v>
      </c>
      <c r="R55" s="22" t="s">
        <v>182</v>
      </c>
      <c r="S55" s="22" t="s">
        <v>41</v>
      </c>
      <c r="T55" s="22" t="s">
        <v>57</v>
      </c>
      <c r="U55" s="22" t="s">
        <v>98</v>
      </c>
      <c r="V55" s="128">
        <v>24927.787010879994</v>
      </c>
      <c r="W55" s="128">
        <v>24468.440022000003</v>
      </c>
      <c r="X55" s="128">
        <v>22512.62490984</v>
      </c>
      <c r="Y55" s="127">
        <v>0.3</v>
      </c>
      <c r="Z55" s="127">
        <v>0.3</v>
      </c>
      <c r="AA55" s="128">
        <v>7478.3361032639978</v>
      </c>
      <c r="AB55" s="128">
        <v>7340.5320066000004</v>
      </c>
      <c r="AC55" s="127">
        <v>0.65</v>
      </c>
      <c r="AD55" s="127">
        <v>0.35</v>
      </c>
      <c r="AE55" s="160">
        <v>7430.1046694315992</v>
      </c>
      <c r="AF55" s="164">
        <f>_xlfn.IFNA(INDEX('PGM Values'!$D$9:$D$17,MATCH('Raw Forecasting NPS Data'!$C55,'PGM Values'!$B$9:$B$17,0)),0)</f>
        <v>11542</v>
      </c>
      <c r="AG55" s="129">
        <f>_xlfn.IFNA(INDEX('PGM Values'!$C$9:$C$17,MATCH('Raw Forecasting NPS Data'!$C55,'PGM Values'!$B$9:$B$17,0)),0)</f>
        <v>11542</v>
      </c>
      <c r="AH55" s="129">
        <f t="shared" si="5"/>
        <v>85758268.094579518</v>
      </c>
      <c r="AI55" s="165">
        <f t="shared" si="6"/>
        <v>85758268.094579518</v>
      </c>
    </row>
    <row r="56" spans="3:35" x14ac:dyDescent="0.35">
      <c r="C56" s="180" t="str">
        <f>INDEX('Finance to Brand Mapping'!$D$7:$D$100,MATCH('Raw Forecasting NPS Data'!$I56,'Finance to Brand Mapping'!$C$7:$C$100,0))</f>
        <v>Keytruda</v>
      </c>
      <c r="D56" s="138" t="s">
        <v>179</v>
      </c>
      <c r="E56" s="22" t="s">
        <v>43</v>
      </c>
      <c r="F56" s="22" t="s">
        <v>44</v>
      </c>
      <c r="G56" s="22" t="s">
        <v>25</v>
      </c>
      <c r="H56" s="22" t="s">
        <v>183</v>
      </c>
      <c r="I56" s="22" t="s">
        <v>184</v>
      </c>
      <c r="J56" s="22" t="s">
        <v>28</v>
      </c>
      <c r="K56" s="125">
        <v>1264.5181200000004</v>
      </c>
      <c r="L56" s="125">
        <v>1264.5181200000004</v>
      </c>
      <c r="M56" s="125">
        <v>1264.5281950000003</v>
      </c>
      <c r="N56" s="125">
        <v>1131.4294789999999</v>
      </c>
      <c r="O56" s="125">
        <v>891.8505100000001</v>
      </c>
      <c r="P56" s="125">
        <v>8.7799999999999905</v>
      </c>
      <c r="Q56" s="126">
        <v>42005</v>
      </c>
      <c r="R56" s="22" t="s">
        <v>185</v>
      </c>
      <c r="S56" s="22" t="s">
        <v>41</v>
      </c>
      <c r="T56" s="22" t="s">
        <v>57</v>
      </c>
      <c r="U56" s="22" t="s">
        <v>98</v>
      </c>
      <c r="V56" s="128">
        <v>11102.469093599992</v>
      </c>
      <c r="W56" s="128">
        <v>11102.55755209999</v>
      </c>
      <c r="X56" s="128">
        <v>9933.9508256199879</v>
      </c>
      <c r="Y56" s="127">
        <v>0.3</v>
      </c>
      <c r="Z56" s="127">
        <v>0.3</v>
      </c>
      <c r="AA56" s="128">
        <v>3330.7407280799976</v>
      </c>
      <c r="AB56" s="128">
        <v>3330.7672656299969</v>
      </c>
      <c r="AC56" s="127">
        <v>0.65</v>
      </c>
      <c r="AD56" s="127">
        <v>0.35</v>
      </c>
      <c r="AE56" s="160">
        <v>3330.7500162224974</v>
      </c>
      <c r="AF56" s="164">
        <f>_xlfn.IFNA(INDEX('PGM Values'!$D$9:$D$17,MATCH('Raw Forecasting NPS Data'!$C56,'PGM Values'!$B$9:$B$17,0)),0)</f>
        <v>11542</v>
      </c>
      <c r="AG56" s="129">
        <f>_xlfn.IFNA(INDEX('PGM Values'!$C$9:$C$17,MATCH('Raw Forecasting NPS Data'!$C56,'PGM Values'!$B$9:$B$17,0)),0)</f>
        <v>11542</v>
      </c>
      <c r="AH56" s="129">
        <f t="shared" si="5"/>
        <v>38443516.687240064</v>
      </c>
      <c r="AI56" s="165">
        <f t="shared" si="6"/>
        <v>38443516.687240064</v>
      </c>
    </row>
    <row r="57" spans="3:35" x14ac:dyDescent="0.35">
      <c r="C57" s="180" t="str">
        <f>INDEX('Finance to Brand Mapping'!$D$7:$D$100,MATCH('Raw Forecasting NPS Data'!$I57,'Finance to Brand Mapping'!$C$7:$C$100,0))</f>
        <v>Keytruda</v>
      </c>
      <c r="D57" s="138" t="s">
        <v>186</v>
      </c>
      <c r="E57" s="22" t="s">
        <v>43</v>
      </c>
      <c r="F57" s="22" t="s">
        <v>24</v>
      </c>
      <c r="G57" s="22" t="s">
        <v>25</v>
      </c>
      <c r="H57" s="22" t="s">
        <v>187</v>
      </c>
      <c r="I57" s="22" t="s">
        <v>188</v>
      </c>
      <c r="J57" s="22" t="s">
        <v>28</v>
      </c>
      <c r="K57" s="125">
        <v>768</v>
      </c>
      <c r="L57" s="125">
        <v>768</v>
      </c>
      <c r="M57" s="125">
        <v>768</v>
      </c>
      <c r="N57" s="125">
        <v>768</v>
      </c>
      <c r="O57" s="125">
        <v>768</v>
      </c>
      <c r="P57" s="125">
        <v>9.17</v>
      </c>
      <c r="Q57" s="126">
        <v>43101</v>
      </c>
      <c r="R57" s="22" t="s">
        <v>189</v>
      </c>
      <c r="S57" s="22" t="s">
        <v>41</v>
      </c>
      <c r="T57" s="22" t="s">
        <v>57</v>
      </c>
      <c r="U57" s="22" t="s">
        <v>47</v>
      </c>
      <c r="V57" s="128">
        <v>7042.5599999999995</v>
      </c>
      <c r="W57" s="128">
        <v>7042.5599999999995</v>
      </c>
      <c r="X57" s="128">
        <v>7042.5599999999995</v>
      </c>
      <c r="Y57" s="127">
        <v>0.3</v>
      </c>
      <c r="Z57" s="127">
        <v>0.3</v>
      </c>
      <c r="AA57" s="128">
        <v>2112.7679999999996</v>
      </c>
      <c r="AB57" s="128">
        <v>2112.7679999999996</v>
      </c>
      <c r="AC57" s="127">
        <v>0.65</v>
      </c>
      <c r="AD57" s="127">
        <v>0.35</v>
      </c>
      <c r="AE57" s="160">
        <v>2112.7679999999996</v>
      </c>
      <c r="AF57" s="164">
        <f>_xlfn.IFNA(INDEX('PGM Values'!$D$9:$D$17,MATCH('Raw Forecasting NPS Data'!$C57,'PGM Values'!$B$9:$B$17,0)),0)</f>
        <v>11542</v>
      </c>
      <c r="AG57" s="129">
        <f>_xlfn.IFNA(INDEX('PGM Values'!$C$9:$C$17,MATCH('Raw Forecasting NPS Data'!$C57,'PGM Values'!$B$9:$B$17,0)),0)</f>
        <v>11542</v>
      </c>
      <c r="AH57" s="129">
        <f t="shared" si="5"/>
        <v>24385568.255999994</v>
      </c>
      <c r="AI57" s="165">
        <f t="shared" si="6"/>
        <v>24385568.255999994</v>
      </c>
    </row>
    <row r="58" spans="3:35" x14ac:dyDescent="0.35">
      <c r="C58" s="180" t="str">
        <f>INDEX('Finance to Brand Mapping'!$D$7:$D$100,MATCH('Raw Forecasting NPS Data'!$I58,'Finance to Brand Mapping'!$C$7:$C$100,0))</f>
        <v>Keytruda</v>
      </c>
      <c r="D58" s="138" t="s">
        <v>190</v>
      </c>
      <c r="E58" s="22" t="s">
        <v>75</v>
      </c>
      <c r="F58" s="22" t="s">
        <v>24</v>
      </c>
      <c r="G58" s="22" t="s">
        <v>25</v>
      </c>
      <c r="H58" s="22" t="s">
        <v>191</v>
      </c>
      <c r="I58" s="22" t="s">
        <v>192</v>
      </c>
      <c r="J58" s="22" t="s">
        <v>28</v>
      </c>
      <c r="K58" s="125">
        <v>0</v>
      </c>
      <c r="L58" s="125">
        <v>16.739817000000002</v>
      </c>
      <c r="M58" s="125">
        <v>268.53666400000003</v>
      </c>
      <c r="N58" s="125">
        <v>312.29770799999994</v>
      </c>
      <c r="O58" s="125">
        <v>280.06233800000001</v>
      </c>
      <c r="P58" s="125">
        <v>7.0017881480000002</v>
      </c>
      <c r="Q58" s="126">
        <v>45567</v>
      </c>
      <c r="R58" s="22" t="s">
        <v>193</v>
      </c>
      <c r="S58" s="22">
        <v>24</v>
      </c>
      <c r="T58" s="22" t="s">
        <v>30</v>
      </c>
      <c r="U58" s="22" t="s">
        <v>31</v>
      </c>
      <c r="V58" s="128">
        <v>117.20865227028894</v>
      </c>
      <c r="W58" s="128">
        <v>1880.2368312986584</v>
      </c>
      <c r="X58" s="128">
        <v>2186.6423905219644</v>
      </c>
      <c r="Y58" s="127">
        <v>1</v>
      </c>
      <c r="Z58" s="127">
        <v>1</v>
      </c>
      <c r="AA58" s="128">
        <v>117.20865227028894</v>
      </c>
      <c r="AB58" s="128">
        <v>1880.2368312986584</v>
      </c>
      <c r="AC58" s="127">
        <v>0.15</v>
      </c>
      <c r="AD58" s="127">
        <v>0.85</v>
      </c>
      <c r="AE58" s="160">
        <v>1615.782604444403</v>
      </c>
      <c r="AF58" s="164">
        <f>_xlfn.IFNA(INDEX('PGM Values'!$D$9:$D$17,MATCH('Raw Forecasting NPS Data'!$C58,'PGM Values'!$B$9:$B$17,0)),0)</f>
        <v>11542</v>
      </c>
      <c r="AG58" s="129">
        <f>_xlfn.IFNA(INDEX('PGM Values'!$C$9:$C$17,MATCH('Raw Forecasting NPS Data'!$C58,'PGM Values'!$B$9:$B$17,0)),0)</f>
        <v>11542</v>
      </c>
      <c r="AH58" s="129">
        <f t="shared" si="5"/>
        <v>18649362.8204973</v>
      </c>
      <c r="AI58" s="165">
        <f t="shared" si="6"/>
        <v>18649362.8204973</v>
      </c>
    </row>
    <row r="59" spans="3:35" x14ac:dyDescent="0.35">
      <c r="C59" s="180" t="str">
        <f>INDEX('Finance to Brand Mapping'!$D$7:$D$100,MATCH('Raw Forecasting NPS Data'!$I59,'Finance to Brand Mapping'!$C$7:$C$100,0))</f>
        <v>Keytruda</v>
      </c>
      <c r="D59" s="138" t="s">
        <v>194</v>
      </c>
      <c r="E59" s="22" t="s">
        <v>195</v>
      </c>
      <c r="F59" s="22">
        <v>1</v>
      </c>
      <c r="G59" s="22" t="s">
        <v>25</v>
      </c>
      <c r="H59" s="22" t="s">
        <v>196</v>
      </c>
      <c r="I59" s="22" t="s">
        <v>197</v>
      </c>
      <c r="J59" s="22" t="s">
        <v>28</v>
      </c>
      <c r="K59" s="125">
        <v>0</v>
      </c>
      <c r="L59" s="125">
        <v>1766.6198050000003</v>
      </c>
      <c r="M59" s="125">
        <v>5705.2182929999999</v>
      </c>
      <c r="N59" s="125">
        <v>5627.0362699999996</v>
      </c>
      <c r="O59" s="125">
        <v>5321.8620940000001</v>
      </c>
      <c r="P59" s="125">
        <v>9.01</v>
      </c>
      <c r="Q59" s="126">
        <v>45414</v>
      </c>
      <c r="R59" s="22"/>
      <c r="S59" s="22">
        <v>24</v>
      </c>
      <c r="T59" s="22" t="s">
        <v>30</v>
      </c>
      <c r="U59" s="22" t="s">
        <v>31</v>
      </c>
      <c r="V59" s="128">
        <v>15917.244443050002</v>
      </c>
      <c r="W59" s="128">
        <v>51404.016819929995</v>
      </c>
      <c r="X59" s="128">
        <v>50699.596792699995</v>
      </c>
      <c r="Y59" s="127">
        <v>1</v>
      </c>
      <c r="Z59" s="127">
        <v>1</v>
      </c>
      <c r="AA59" s="128">
        <v>15917.244443050002</v>
      </c>
      <c r="AB59" s="128">
        <v>51404.016819929995</v>
      </c>
      <c r="AC59" s="127">
        <v>0.4</v>
      </c>
      <c r="AD59" s="127">
        <v>0.6</v>
      </c>
      <c r="AE59" s="160">
        <v>37209.307869177996</v>
      </c>
      <c r="AF59" s="164">
        <f>_xlfn.IFNA(INDEX('PGM Values'!$D$9:$D$17,MATCH('Raw Forecasting NPS Data'!$C59,'PGM Values'!$B$9:$B$17,0)),0)</f>
        <v>11542</v>
      </c>
      <c r="AG59" s="129">
        <f>_xlfn.IFNA(INDEX('PGM Values'!$C$9:$C$17,MATCH('Raw Forecasting NPS Data'!$C59,'PGM Values'!$B$9:$B$17,0)),0)</f>
        <v>11542</v>
      </c>
      <c r="AH59" s="129">
        <f t="shared" si="5"/>
        <v>429469831.42605245</v>
      </c>
      <c r="AI59" s="165">
        <f t="shared" si="6"/>
        <v>429469831.42605245</v>
      </c>
    </row>
    <row r="60" spans="3:35" x14ac:dyDescent="0.35">
      <c r="C60" s="180" t="str">
        <f>INDEX('Finance to Brand Mapping'!$D$7:$D$100,MATCH('Raw Forecasting NPS Data'!$I60,'Finance to Brand Mapping'!$C$7:$C$100,0))</f>
        <v>Keytruda</v>
      </c>
      <c r="D60" s="138" t="s">
        <v>194</v>
      </c>
      <c r="E60" s="22" t="s">
        <v>198</v>
      </c>
      <c r="F60" s="22">
        <v>1</v>
      </c>
      <c r="G60" s="22" t="s">
        <v>25</v>
      </c>
      <c r="H60" s="22" t="s">
        <v>199</v>
      </c>
      <c r="I60" s="22" t="s">
        <v>200</v>
      </c>
      <c r="J60" s="22" t="s">
        <v>28</v>
      </c>
      <c r="K60" s="125">
        <v>1195.0431859999999</v>
      </c>
      <c r="L60" s="125">
        <v>4553.8924540000007</v>
      </c>
      <c r="M60" s="125">
        <v>3024.0279009999999</v>
      </c>
      <c r="N60" s="125">
        <v>2675.0512280000003</v>
      </c>
      <c r="O60" s="125">
        <v>2364.7938899999995</v>
      </c>
      <c r="P60" s="125">
        <v>9.01</v>
      </c>
      <c r="Q60" s="126">
        <v>45018</v>
      </c>
      <c r="R60" s="22"/>
      <c r="S60" s="22" t="s">
        <v>41</v>
      </c>
      <c r="T60" s="22" t="s">
        <v>79</v>
      </c>
      <c r="U60" s="22" t="s">
        <v>80</v>
      </c>
      <c r="V60" s="128">
        <v>41030.571010540007</v>
      </c>
      <c r="W60" s="128">
        <v>27246.491388009999</v>
      </c>
      <c r="X60" s="128">
        <v>24102.211564280002</v>
      </c>
      <c r="Y60" s="127">
        <v>1</v>
      </c>
      <c r="Z60" s="127">
        <v>0.8</v>
      </c>
      <c r="AA60" s="128">
        <v>41030.571010540007</v>
      </c>
      <c r="AB60" s="128">
        <v>21797.193110407999</v>
      </c>
      <c r="AC60" s="127">
        <v>0.65</v>
      </c>
      <c r="AD60" s="127">
        <v>0.35</v>
      </c>
      <c r="AE60" s="160">
        <v>34298.888745493801</v>
      </c>
      <c r="AF60" s="164">
        <f>_xlfn.IFNA(INDEX('PGM Values'!$D$9:$D$17,MATCH('Raw Forecasting NPS Data'!$C60,'PGM Values'!$B$9:$B$17,0)),0)</f>
        <v>11542</v>
      </c>
      <c r="AG60" s="129">
        <f>_xlfn.IFNA(INDEX('PGM Values'!$C$9:$C$17,MATCH('Raw Forecasting NPS Data'!$C60,'PGM Values'!$B$9:$B$17,0)),0)</f>
        <v>11542</v>
      </c>
      <c r="AH60" s="129">
        <f t="shared" si="5"/>
        <v>395877773.90048945</v>
      </c>
      <c r="AI60" s="165">
        <f t="shared" si="6"/>
        <v>395877773.90048945</v>
      </c>
    </row>
    <row r="61" spans="3:35" x14ac:dyDescent="0.35">
      <c r="C61" s="180" t="str">
        <f>INDEX('Finance to Brand Mapping'!$D$7:$D$100,MATCH('Raw Forecasting NPS Data'!$I61,'Finance to Brand Mapping'!$C$7:$C$100,0))</f>
        <v>Keytruda</v>
      </c>
      <c r="D61" s="138" t="s">
        <v>201</v>
      </c>
      <c r="E61" s="22" t="s">
        <v>202</v>
      </c>
      <c r="F61" s="22" t="s">
        <v>203</v>
      </c>
      <c r="G61" s="22" t="s">
        <v>25</v>
      </c>
      <c r="H61" s="22" t="s">
        <v>204</v>
      </c>
      <c r="I61" s="22" t="s">
        <v>205</v>
      </c>
      <c r="J61" s="22" t="s">
        <v>28</v>
      </c>
      <c r="K61" s="125">
        <v>0</v>
      </c>
      <c r="L61" s="125">
        <v>0</v>
      </c>
      <c r="M61" s="125">
        <v>0</v>
      </c>
      <c r="N61" s="125">
        <v>0</v>
      </c>
      <c r="O61" s="125">
        <v>643.408502</v>
      </c>
      <c r="P61" s="125">
        <v>8.9600000000000009</v>
      </c>
      <c r="Q61" s="126">
        <v>46448</v>
      </c>
      <c r="R61" s="22"/>
      <c r="S61" s="22" t="s">
        <v>103</v>
      </c>
      <c r="T61" s="22" t="s">
        <v>104</v>
      </c>
      <c r="U61" s="22" t="s">
        <v>72</v>
      </c>
      <c r="V61" s="128">
        <v>0</v>
      </c>
      <c r="W61" s="128">
        <v>0</v>
      </c>
      <c r="X61" s="128">
        <v>0</v>
      </c>
      <c r="Y61" s="127" t="s">
        <v>72</v>
      </c>
      <c r="Z61" s="127" t="s">
        <v>72</v>
      </c>
      <c r="AA61" s="128" t="s">
        <v>32</v>
      </c>
      <c r="AB61" s="128" t="s">
        <v>32</v>
      </c>
      <c r="AC61" s="127" t="s">
        <v>72</v>
      </c>
      <c r="AD61" s="127" t="s">
        <v>72</v>
      </c>
      <c r="AE61" s="160">
        <v>0</v>
      </c>
      <c r="AF61" s="164">
        <f>_xlfn.IFNA(INDEX('PGM Values'!$D$9:$D$17,MATCH('Raw Forecasting NPS Data'!$C61,'PGM Values'!$B$9:$B$17,0)),0)</f>
        <v>11542</v>
      </c>
      <c r="AG61" s="129">
        <f>_xlfn.IFNA(INDEX('PGM Values'!$C$9:$C$17,MATCH('Raw Forecasting NPS Data'!$C61,'PGM Values'!$B$9:$B$17,0)),0)</f>
        <v>11542</v>
      </c>
      <c r="AH61" s="129">
        <f t="shared" si="5"/>
        <v>0</v>
      </c>
      <c r="AI61" s="165">
        <f t="shared" si="6"/>
        <v>0</v>
      </c>
    </row>
    <row r="62" spans="3:35" x14ac:dyDescent="0.35">
      <c r="C62" s="180" t="str">
        <f>INDEX('Finance to Brand Mapping'!$D$7:$D$100,MATCH('Raw Forecasting NPS Data'!$I62,'Finance to Brand Mapping'!$C$7:$C$100,0))</f>
        <v>Keytruda</v>
      </c>
      <c r="D62" s="138" t="s">
        <v>201</v>
      </c>
      <c r="E62" s="22" t="s">
        <v>75</v>
      </c>
      <c r="F62" s="22" t="s">
        <v>112</v>
      </c>
      <c r="G62" s="22" t="s">
        <v>90</v>
      </c>
      <c r="H62" s="22" t="s">
        <v>206</v>
      </c>
      <c r="I62" s="22" t="s">
        <v>348</v>
      </c>
      <c r="J62" s="22" t="s">
        <v>28</v>
      </c>
      <c r="K62" s="125">
        <v>0</v>
      </c>
      <c r="L62" s="125">
        <v>0</v>
      </c>
      <c r="M62" s="125">
        <v>771.78823699999987</v>
      </c>
      <c r="N62" s="125">
        <v>693.19040400000006</v>
      </c>
      <c r="O62" s="125">
        <v>638.73967299999993</v>
      </c>
      <c r="P62" s="125">
        <v>2</v>
      </c>
      <c r="Q62" s="126">
        <v>45672</v>
      </c>
      <c r="R62" s="22" t="s">
        <v>207</v>
      </c>
      <c r="S62" s="22">
        <v>25</v>
      </c>
      <c r="T62" s="22" t="s">
        <v>104</v>
      </c>
      <c r="U62" s="22" t="s">
        <v>31</v>
      </c>
      <c r="V62" s="128">
        <v>0</v>
      </c>
      <c r="W62" s="128">
        <v>1543.5764739999997</v>
      </c>
      <c r="X62" s="128">
        <v>1386.3808080000001</v>
      </c>
      <c r="Y62" s="127">
        <v>1</v>
      </c>
      <c r="Z62" s="127">
        <v>1</v>
      </c>
      <c r="AA62" s="128">
        <v>0</v>
      </c>
      <c r="AB62" s="128">
        <v>1543.5764739999997</v>
      </c>
      <c r="AC62" s="127">
        <v>0</v>
      </c>
      <c r="AD62" s="127">
        <v>1</v>
      </c>
      <c r="AE62" s="160">
        <v>1543.5764739999997</v>
      </c>
      <c r="AF62" s="164">
        <f>_xlfn.IFNA(INDEX('PGM Values'!$D$9:$D$17,MATCH('Raw Forecasting NPS Data'!$C62,'PGM Values'!$B$9:$B$17,0)),0)</f>
        <v>11542</v>
      </c>
      <c r="AG62" s="129">
        <f>_xlfn.IFNA(INDEX('PGM Values'!$C$9:$C$17,MATCH('Raw Forecasting NPS Data'!$C62,'PGM Values'!$B$9:$B$17,0)),0)</f>
        <v>11542</v>
      </c>
      <c r="AH62" s="129">
        <f t="shared" si="5"/>
        <v>17815959.662907995</v>
      </c>
      <c r="AI62" s="165">
        <f t="shared" si="6"/>
        <v>17815959.662907995</v>
      </c>
    </row>
    <row r="63" spans="3:35" x14ac:dyDescent="0.35">
      <c r="C63" s="180" t="str">
        <f>INDEX('Finance to Brand Mapping'!$D$7:$D$100,MATCH('Raw Forecasting NPS Data'!$I63,'Finance to Brand Mapping'!$C$7:$C$100,0))</f>
        <v>Keytruda</v>
      </c>
      <c r="D63" s="138" t="s">
        <v>201</v>
      </c>
      <c r="E63" s="22" t="s">
        <v>75</v>
      </c>
      <c r="F63" s="22" t="s">
        <v>157</v>
      </c>
      <c r="G63" s="22" t="s">
        <v>90</v>
      </c>
      <c r="H63" s="22" t="s">
        <v>208</v>
      </c>
      <c r="I63" s="22" t="s">
        <v>348</v>
      </c>
      <c r="J63" s="22" t="s">
        <v>28</v>
      </c>
      <c r="K63" s="125">
        <v>0</v>
      </c>
      <c r="L63" s="125">
        <v>0</v>
      </c>
      <c r="M63" s="125">
        <v>1800.8392240000001</v>
      </c>
      <c r="N63" s="125">
        <v>1617.4442759999997</v>
      </c>
      <c r="O63" s="125">
        <v>1490.3925719999997</v>
      </c>
      <c r="P63" s="125">
        <v>8.99</v>
      </c>
      <c r="Q63" s="126">
        <v>45672</v>
      </c>
      <c r="R63" s="22" t="s">
        <v>207</v>
      </c>
      <c r="S63" s="22">
        <v>25</v>
      </c>
      <c r="T63" s="22" t="s">
        <v>104</v>
      </c>
      <c r="U63" s="22" t="s">
        <v>31</v>
      </c>
      <c r="V63" s="128">
        <v>0</v>
      </c>
      <c r="W63" s="128">
        <v>16189.544623760001</v>
      </c>
      <c r="X63" s="128">
        <v>14540.824041239997</v>
      </c>
      <c r="Y63" s="127">
        <v>1</v>
      </c>
      <c r="Z63" s="127">
        <v>1</v>
      </c>
      <c r="AA63" s="128">
        <v>0</v>
      </c>
      <c r="AB63" s="128">
        <v>16189.544623760001</v>
      </c>
      <c r="AC63" s="127">
        <v>0</v>
      </c>
      <c r="AD63" s="127">
        <v>1</v>
      </c>
      <c r="AE63" s="160">
        <v>16189.544623760001</v>
      </c>
      <c r="AF63" s="164">
        <f>_xlfn.IFNA(INDEX('PGM Values'!$D$9:$D$17,MATCH('Raw Forecasting NPS Data'!$C63,'PGM Values'!$B$9:$B$17,0)),0)</f>
        <v>11542</v>
      </c>
      <c r="AG63" s="129">
        <f>_xlfn.IFNA(INDEX('PGM Values'!$C$9:$C$17,MATCH('Raw Forecasting NPS Data'!$C63,'PGM Values'!$B$9:$B$17,0)),0)</f>
        <v>11542</v>
      </c>
      <c r="AH63" s="129">
        <f t="shared" si="5"/>
        <v>186859724.04743794</v>
      </c>
      <c r="AI63" s="165">
        <f t="shared" si="6"/>
        <v>186859724.04743794</v>
      </c>
    </row>
    <row r="64" spans="3:35" x14ac:dyDescent="0.35">
      <c r="C64" s="180" t="str">
        <f>INDEX('Finance to Brand Mapping'!$D$7:$D$100,MATCH('Raw Forecasting NPS Data'!$I64,'Finance to Brand Mapping'!$C$7:$C$100,0))</f>
        <v>Keytruda</v>
      </c>
      <c r="D64" s="138" t="s">
        <v>201</v>
      </c>
      <c r="E64" s="22" t="s">
        <v>209</v>
      </c>
      <c r="F64" s="22" t="s">
        <v>112</v>
      </c>
      <c r="G64" s="22" t="s">
        <v>25</v>
      </c>
      <c r="H64" s="22" t="s">
        <v>210</v>
      </c>
      <c r="I64" s="22" t="s">
        <v>349</v>
      </c>
      <c r="J64" s="22" t="s">
        <v>28</v>
      </c>
      <c r="K64" s="125">
        <v>0</v>
      </c>
      <c r="L64" s="125">
        <v>0</v>
      </c>
      <c r="M64" s="125">
        <v>45.078893999999998</v>
      </c>
      <c r="N64" s="125">
        <v>305.10254099999997</v>
      </c>
      <c r="O64" s="125">
        <v>327.87450699999994</v>
      </c>
      <c r="P64" s="125">
        <v>2</v>
      </c>
      <c r="Q64" s="126">
        <v>45871</v>
      </c>
      <c r="R64" s="22"/>
      <c r="S64" s="22">
        <v>25</v>
      </c>
      <c r="T64" s="22" t="s">
        <v>104</v>
      </c>
      <c r="U64" s="22" t="s">
        <v>73</v>
      </c>
      <c r="V64" s="128">
        <v>0</v>
      </c>
      <c r="W64" s="128">
        <v>90.157787999999996</v>
      </c>
      <c r="X64" s="128">
        <v>610.20508199999995</v>
      </c>
      <c r="Y64" s="127">
        <v>1</v>
      </c>
      <c r="Z64" s="127">
        <v>1</v>
      </c>
      <c r="AA64" s="128">
        <v>0</v>
      </c>
      <c r="AB64" s="128">
        <v>90.157787999999996</v>
      </c>
      <c r="AC64" s="127">
        <v>0</v>
      </c>
      <c r="AD64" s="127">
        <v>0.7</v>
      </c>
      <c r="AE64" s="160">
        <v>63.11045159999999</v>
      </c>
      <c r="AF64" s="164">
        <f>_xlfn.IFNA(INDEX('PGM Values'!$D$9:$D$17,MATCH('Raw Forecasting NPS Data'!$C64,'PGM Values'!$B$9:$B$17,0)),0)</f>
        <v>11542</v>
      </c>
      <c r="AG64" s="129">
        <f>_xlfn.IFNA(INDEX('PGM Values'!$C$9:$C$17,MATCH('Raw Forecasting NPS Data'!$C64,'PGM Values'!$B$9:$B$17,0)),0)</f>
        <v>11542</v>
      </c>
      <c r="AH64" s="129">
        <f t="shared" si="5"/>
        <v>728420.83236719994</v>
      </c>
      <c r="AI64" s="165">
        <f t="shared" si="6"/>
        <v>728420.83236719994</v>
      </c>
    </row>
    <row r="65" spans="3:35" x14ac:dyDescent="0.35">
      <c r="C65" s="180" t="str">
        <f>INDEX('Finance to Brand Mapping'!$D$7:$D$100,MATCH('Raw Forecasting NPS Data'!$I65,'Finance to Brand Mapping'!$C$7:$C$100,0))</f>
        <v>Keytruda</v>
      </c>
      <c r="D65" s="138" t="s">
        <v>201</v>
      </c>
      <c r="E65" s="22" t="s">
        <v>209</v>
      </c>
      <c r="F65" s="22" t="s">
        <v>157</v>
      </c>
      <c r="G65" s="22" t="s">
        <v>25</v>
      </c>
      <c r="H65" s="22" t="s">
        <v>211</v>
      </c>
      <c r="I65" s="22" t="s">
        <v>349</v>
      </c>
      <c r="J65" s="22" t="s">
        <v>28</v>
      </c>
      <c r="K65" s="125">
        <v>0</v>
      </c>
      <c r="L65" s="125">
        <v>0</v>
      </c>
      <c r="M65" s="125">
        <v>105.18408700000001</v>
      </c>
      <c r="N65" s="125">
        <v>711.90592700000002</v>
      </c>
      <c r="O65" s="125">
        <v>765.04051700000014</v>
      </c>
      <c r="P65" s="125">
        <v>8.9600000000000009</v>
      </c>
      <c r="Q65" s="126">
        <v>45871</v>
      </c>
      <c r="R65" s="22"/>
      <c r="S65" s="22">
        <v>25</v>
      </c>
      <c r="T65" s="22" t="s">
        <v>104</v>
      </c>
      <c r="U65" s="22" t="s">
        <v>73</v>
      </c>
      <c r="V65" s="128">
        <v>0</v>
      </c>
      <c r="W65" s="128">
        <v>942.44941952000011</v>
      </c>
      <c r="X65" s="128">
        <v>6378.6771059200009</v>
      </c>
      <c r="Y65" s="127">
        <v>1</v>
      </c>
      <c r="Z65" s="127">
        <v>1</v>
      </c>
      <c r="AA65" s="128">
        <v>0</v>
      </c>
      <c r="AB65" s="128">
        <v>942.44941952000011</v>
      </c>
      <c r="AC65" s="127">
        <v>0</v>
      </c>
      <c r="AD65" s="127">
        <v>0.7</v>
      </c>
      <c r="AE65" s="160">
        <v>659.71459366400006</v>
      </c>
      <c r="AF65" s="164">
        <f>_xlfn.IFNA(INDEX('PGM Values'!$D$9:$D$17,MATCH('Raw Forecasting NPS Data'!$C65,'PGM Values'!$B$9:$B$17,0)),0)</f>
        <v>11542</v>
      </c>
      <c r="AG65" s="129">
        <f>_xlfn.IFNA(INDEX('PGM Values'!$C$9:$C$17,MATCH('Raw Forecasting NPS Data'!$C65,'PGM Values'!$B$9:$B$17,0)),0)</f>
        <v>11542</v>
      </c>
      <c r="AH65" s="129">
        <f t="shared" si="5"/>
        <v>7614425.8400698891</v>
      </c>
      <c r="AI65" s="165">
        <f t="shared" si="6"/>
        <v>7614425.8400698891</v>
      </c>
    </row>
    <row r="66" spans="3:35" x14ac:dyDescent="0.35">
      <c r="C66" s="180" t="str">
        <f>INDEX('Finance to Brand Mapping'!$D$7:$D$100,MATCH('Raw Forecasting NPS Data'!$I66,'Finance to Brand Mapping'!$C$7:$C$100,0))</f>
        <v>Keytruda</v>
      </c>
      <c r="D66" s="138" t="s">
        <v>201</v>
      </c>
      <c r="E66" s="22" t="s">
        <v>43</v>
      </c>
      <c r="F66" s="22" t="s">
        <v>81</v>
      </c>
      <c r="G66" s="22" t="s">
        <v>25</v>
      </c>
      <c r="H66" s="22" t="s">
        <v>212</v>
      </c>
      <c r="I66" s="22" t="s">
        <v>350</v>
      </c>
      <c r="J66" s="22" t="s">
        <v>28</v>
      </c>
      <c r="K66" s="125">
        <v>0</v>
      </c>
      <c r="L66" s="125">
        <v>0</v>
      </c>
      <c r="M66" s="125">
        <v>16.142119000000001</v>
      </c>
      <c r="N66" s="125">
        <v>405.10645300000004</v>
      </c>
      <c r="O66" s="125">
        <v>456.18966999999998</v>
      </c>
      <c r="P66" s="125">
        <v>8.9600000000000009</v>
      </c>
      <c r="Q66" s="126">
        <v>45963</v>
      </c>
      <c r="R66" s="22"/>
      <c r="S66" s="22">
        <v>25</v>
      </c>
      <c r="T66" s="22" t="s">
        <v>104</v>
      </c>
      <c r="U66" s="22" t="s">
        <v>73</v>
      </c>
      <c r="V66" s="128">
        <v>0</v>
      </c>
      <c r="W66" s="128">
        <v>144.63338624000002</v>
      </c>
      <c r="X66" s="128">
        <v>3629.7538188800008</v>
      </c>
      <c r="Y66" s="127">
        <v>1</v>
      </c>
      <c r="Z66" s="127">
        <v>1</v>
      </c>
      <c r="AA66" s="128">
        <v>0</v>
      </c>
      <c r="AB66" s="128">
        <v>144.63338624000002</v>
      </c>
      <c r="AC66" s="127">
        <v>0</v>
      </c>
      <c r="AD66" s="127">
        <v>0.7</v>
      </c>
      <c r="AE66" s="160">
        <v>101.24337036800001</v>
      </c>
      <c r="AF66" s="164">
        <f>_xlfn.IFNA(INDEX('PGM Values'!$D$9:$D$17,MATCH('Raw Forecasting NPS Data'!$C66,'PGM Values'!$B$9:$B$17,0)),0)</f>
        <v>11542</v>
      </c>
      <c r="AG66" s="129">
        <f>_xlfn.IFNA(INDEX('PGM Values'!$C$9:$C$17,MATCH('Raw Forecasting NPS Data'!$C66,'PGM Values'!$B$9:$B$17,0)),0)</f>
        <v>11542</v>
      </c>
      <c r="AH66" s="129">
        <f t="shared" si="5"/>
        <v>1168550.9807874563</v>
      </c>
      <c r="AI66" s="165">
        <f t="shared" si="6"/>
        <v>1168550.9807874563</v>
      </c>
    </row>
    <row r="67" spans="3:35" x14ac:dyDescent="0.35">
      <c r="C67" s="180" t="str">
        <f>INDEX('Finance to Brand Mapping'!$D$7:$D$100,MATCH('Raw Forecasting NPS Data'!$I67,'Finance to Brand Mapping'!$C$7:$C$100,0))</f>
        <v>Keytruda</v>
      </c>
      <c r="D67" s="138" t="s">
        <v>201</v>
      </c>
      <c r="E67" s="22" t="s">
        <v>43</v>
      </c>
      <c r="F67" s="22" t="s">
        <v>81</v>
      </c>
      <c r="G67" s="22" t="s">
        <v>25</v>
      </c>
      <c r="H67" s="22" t="s">
        <v>212</v>
      </c>
      <c r="I67" s="22" t="s">
        <v>350</v>
      </c>
      <c r="J67" s="22" t="s">
        <v>28</v>
      </c>
      <c r="K67" s="125">
        <v>0</v>
      </c>
      <c r="L67" s="125">
        <v>0</v>
      </c>
      <c r="M67" s="125">
        <v>38.379977000000004</v>
      </c>
      <c r="N67" s="125">
        <v>965.22448700000007</v>
      </c>
      <c r="O67" s="125">
        <v>1087.3828570000001</v>
      </c>
      <c r="P67" s="125">
        <v>8.9600000000000009</v>
      </c>
      <c r="Q67" s="126">
        <v>45963</v>
      </c>
      <c r="R67" s="22"/>
      <c r="S67" s="22">
        <v>25</v>
      </c>
      <c r="T67" s="22" t="s">
        <v>104</v>
      </c>
      <c r="U67" s="22" t="s">
        <v>73</v>
      </c>
      <c r="V67" s="128">
        <v>0</v>
      </c>
      <c r="W67" s="128">
        <v>343.88459392000004</v>
      </c>
      <c r="X67" s="128">
        <v>8648.4114035200018</v>
      </c>
      <c r="Y67" s="127">
        <v>1</v>
      </c>
      <c r="Z67" s="127">
        <v>1</v>
      </c>
      <c r="AA67" s="128">
        <v>0</v>
      </c>
      <c r="AB67" s="128">
        <v>343.88459392000004</v>
      </c>
      <c r="AC67" s="127">
        <v>0</v>
      </c>
      <c r="AD67" s="127">
        <v>0.7</v>
      </c>
      <c r="AE67" s="160">
        <v>240.71921574400002</v>
      </c>
      <c r="AF67" s="164">
        <f>_xlfn.IFNA(INDEX('PGM Values'!$D$9:$D$17,MATCH('Raw Forecasting NPS Data'!$C67,'PGM Values'!$B$9:$B$17,0)),0)</f>
        <v>11542</v>
      </c>
      <c r="AG67" s="129">
        <f>_xlfn.IFNA(INDEX('PGM Values'!$C$9:$C$17,MATCH('Raw Forecasting NPS Data'!$C67,'PGM Values'!$B$9:$B$17,0)),0)</f>
        <v>11542</v>
      </c>
      <c r="AH67" s="129">
        <f t="shared" si="5"/>
        <v>2778381.1881172485</v>
      </c>
      <c r="AI67" s="165">
        <f t="shared" si="6"/>
        <v>2778381.1881172485</v>
      </c>
    </row>
    <row r="68" spans="3:35" x14ac:dyDescent="0.35">
      <c r="C68" s="180" t="str">
        <f>INDEX('Finance to Brand Mapping'!$D$7:$D$100,MATCH('Raw Forecasting NPS Data'!$I68,'Finance to Brand Mapping'!$C$7:$C$100,0))</f>
        <v>Keytruda</v>
      </c>
      <c r="D68" s="138" t="s">
        <v>213</v>
      </c>
      <c r="E68" s="22" t="s">
        <v>43</v>
      </c>
      <c r="F68" s="22" t="s">
        <v>44</v>
      </c>
      <c r="G68" s="22" t="s">
        <v>214</v>
      </c>
      <c r="H68" s="22" t="s">
        <v>215</v>
      </c>
      <c r="I68" s="22" t="s">
        <v>216</v>
      </c>
      <c r="J68" s="22" t="s">
        <v>28</v>
      </c>
      <c r="K68" s="125">
        <v>7428</v>
      </c>
      <c r="L68" s="125">
        <v>7428</v>
      </c>
      <c r="M68" s="125">
        <v>7428</v>
      </c>
      <c r="N68" s="125">
        <v>6689.0379460000013</v>
      </c>
      <c r="O68" s="125">
        <v>5360.979018</v>
      </c>
      <c r="P68" s="125">
        <v>6.7486120730000003</v>
      </c>
      <c r="Q68" s="126">
        <v>42878</v>
      </c>
      <c r="R68" s="22" t="s">
        <v>217</v>
      </c>
      <c r="S68" s="22" t="s">
        <v>41</v>
      </c>
      <c r="T68" s="22" t="s">
        <v>57</v>
      </c>
      <c r="U68" s="22" t="s">
        <v>98</v>
      </c>
      <c r="V68" s="128">
        <v>50128.690478244003</v>
      </c>
      <c r="W68" s="128">
        <v>50128.690478244003</v>
      </c>
      <c r="X68" s="128">
        <v>45141.72223913073</v>
      </c>
      <c r="Y68" s="127">
        <v>0.15</v>
      </c>
      <c r="Z68" s="127">
        <v>0.15</v>
      </c>
      <c r="AA68" s="128">
        <v>7519.3035717366001</v>
      </c>
      <c r="AB68" s="128">
        <v>7519.3035717366001</v>
      </c>
      <c r="AC68" s="127">
        <v>0.65</v>
      </c>
      <c r="AD68" s="127">
        <v>0.35</v>
      </c>
      <c r="AE68" s="160">
        <v>7519.3035717366001</v>
      </c>
      <c r="AF68" s="164">
        <f>_xlfn.IFNA(INDEX('PGM Values'!$D$9:$D$17,MATCH('Raw Forecasting NPS Data'!$C68,'PGM Values'!$B$9:$B$17,0)),0)</f>
        <v>11542</v>
      </c>
      <c r="AG68" s="129">
        <f>_xlfn.IFNA(INDEX('PGM Values'!$C$9:$C$17,MATCH('Raw Forecasting NPS Data'!$C68,'PGM Values'!$B$9:$B$17,0)),0)</f>
        <v>11542</v>
      </c>
      <c r="AH68" s="129">
        <f t="shared" si="5"/>
        <v>86787801.824983835</v>
      </c>
      <c r="AI68" s="165">
        <f t="shared" si="6"/>
        <v>86787801.824983835</v>
      </c>
    </row>
    <row r="69" spans="3:35" x14ac:dyDescent="0.35">
      <c r="C69" s="180" t="str">
        <f>INDEX('Finance to Brand Mapping'!$D$7:$D$100,MATCH('Raw Forecasting NPS Data'!$I69,'Finance to Brand Mapping'!$C$7:$C$100,0))</f>
        <v>Keytruda</v>
      </c>
      <c r="D69" s="138" t="s">
        <v>218</v>
      </c>
      <c r="E69" s="22" t="s">
        <v>219</v>
      </c>
      <c r="F69" s="22" t="s">
        <v>220</v>
      </c>
      <c r="G69" s="22" t="s">
        <v>25</v>
      </c>
      <c r="H69" s="22" t="s">
        <v>221</v>
      </c>
      <c r="I69" s="22" t="s">
        <v>222</v>
      </c>
      <c r="J69" s="22" t="s">
        <v>28</v>
      </c>
      <c r="K69" s="125">
        <v>0</v>
      </c>
      <c r="L69" s="125">
        <v>0</v>
      </c>
      <c r="M69" s="125">
        <v>1166.300886</v>
      </c>
      <c r="N69" s="125">
        <v>7346.5777780000008</v>
      </c>
      <c r="O69" s="125">
        <v>6188.1192009999995</v>
      </c>
      <c r="P69" s="125">
        <v>8.99</v>
      </c>
      <c r="Q69" s="126">
        <v>45871</v>
      </c>
      <c r="R69" s="22"/>
      <c r="S69" s="22">
        <v>25</v>
      </c>
      <c r="T69" s="22" t="s">
        <v>104</v>
      </c>
      <c r="U69" s="22" t="s">
        <v>73</v>
      </c>
      <c r="V69" s="128">
        <v>0</v>
      </c>
      <c r="W69" s="128">
        <v>10485.044965139999</v>
      </c>
      <c r="X69" s="128">
        <v>66045.73422422001</v>
      </c>
      <c r="Y69" s="127">
        <v>1</v>
      </c>
      <c r="Z69" s="127">
        <v>1</v>
      </c>
      <c r="AA69" s="128">
        <v>0</v>
      </c>
      <c r="AB69" s="128">
        <v>10485.044965139999</v>
      </c>
      <c r="AC69" s="127">
        <v>0</v>
      </c>
      <c r="AD69" s="127">
        <v>0.7</v>
      </c>
      <c r="AE69" s="160">
        <v>7339.5314755979989</v>
      </c>
      <c r="AF69" s="164">
        <f>_xlfn.IFNA(INDEX('PGM Values'!$D$9:$D$17,MATCH('Raw Forecasting NPS Data'!$C69,'PGM Values'!$B$9:$B$17,0)),0)</f>
        <v>11542</v>
      </c>
      <c r="AG69" s="129">
        <f>_xlfn.IFNA(INDEX('PGM Values'!$C$9:$C$17,MATCH('Raw Forecasting NPS Data'!$C69,'PGM Values'!$B$9:$B$17,0)),0)</f>
        <v>11542</v>
      </c>
      <c r="AH69" s="129">
        <f t="shared" si="5"/>
        <v>84712872.291352108</v>
      </c>
      <c r="AI69" s="165">
        <f t="shared" si="6"/>
        <v>84712872.291352108</v>
      </c>
    </row>
    <row r="70" spans="3:35" x14ac:dyDescent="0.35">
      <c r="C70" s="180" t="str">
        <f>INDEX('Finance to Brand Mapping'!$D$7:$D$100,MATCH('Raw Forecasting NPS Data'!$I70,'Finance to Brand Mapping'!$C$7:$C$100,0))</f>
        <v>Keytruda</v>
      </c>
      <c r="D70" s="138" t="s">
        <v>223</v>
      </c>
      <c r="E70" s="22" t="s">
        <v>219</v>
      </c>
      <c r="F70" s="22" t="s">
        <v>220</v>
      </c>
      <c r="G70" s="22" t="s">
        <v>25</v>
      </c>
      <c r="H70" s="22" t="s">
        <v>224</v>
      </c>
      <c r="I70" s="22" t="s">
        <v>225</v>
      </c>
      <c r="J70" s="22" t="s">
        <v>28</v>
      </c>
      <c r="K70" s="125">
        <v>0</v>
      </c>
      <c r="L70" s="125">
        <v>0</v>
      </c>
      <c r="M70" s="125">
        <v>198.11348399999997</v>
      </c>
      <c r="N70" s="125">
        <v>1948.7076760000002</v>
      </c>
      <c r="O70" s="125">
        <v>2284.8349840000001</v>
      </c>
      <c r="P70" s="125">
        <v>9.0399999999999991</v>
      </c>
      <c r="Q70" s="126">
        <v>45810</v>
      </c>
      <c r="R70" s="22"/>
      <c r="S70" s="22">
        <v>25</v>
      </c>
      <c r="T70" s="22" t="s">
        <v>104</v>
      </c>
      <c r="U70" s="22" t="s">
        <v>73</v>
      </c>
      <c r="V70" s="128">
        <v>0</v>
      </c>
      <c r="W70" s="128">
        <v>1790.9458953599997</v>
      </c>
      <c r="X70" s="128">
        <v>17616.31739104</v>
      </c>
      <c r="Y70" s="127">
        <v>1</v>
      </c>
      <c r="Z70" s="127">
        <v>1</v>
      </c>
      <c r="AA70" s="128">
        <v>0</v>
      </c>
      <c r="AB70" s="128">
        <v>1790.9458953599997</v>
      </c>
      <c r="AC70" s="127">
        <v>0</v>
      </c>
      <c r="AD70" s="127">
        <v>0.7</v>
      </c>
      <c r="AE70" s="160">
        <v>1253.6621267519997</v>
      </c>
      <c r="AF70" s="164">
        <f>_xlfn.IFNA(INDEX('PGM Values'!$D$9:$D$17,MATCH('Raw Forecasting NPS Data'!$C70,'PGM Values'!$B$9:$B$17,0)),0)</f>
        <v>11542</v>
      </c>
      <c r="AG70" s="129">
        <f>_xlfn.IFNA(INDEX('PGM Values'!$C$9:$C$17,MATCH('Raw Forecasting NPS Data'!$C70,'PGM Values'!$B$9:$B$17,0)),0)</f>
        <v>11542</v>
      </c>
      <c r="AH70" s="129">
        <f t="shared" si="5"/>
        <v>14469768.266971581</v>
      </c>
      <c r="AI70" s="165">
        <f t="shared" si="6"/>
        <v>14469768.266971581</v>
      </c>
    </row>
    <row r="71" spans="3:35" x14ac:dyDescent="0.35">
      <c r="C71" s="180" t="str">
        <f>INDEX('Finance to Brand Mapping'!$D$7:$D$100,MATCH('Raw Forecasting NPS Data'!$I71,'Finance to Brand Mapping'!$C$7:$C$100,0))</f>
        <v>Keytruda</v>
      </c>
      <c r="D71" s="138" t="s">
        <v>220</v>
      </c>
      <c r="E71" s="22" t="s">
        <v>43</v>
      </c>
      <c r="F71" s="22" t="s">
        <v>220</v>
      </c>
      <c r="G71" s="22" t="s">
        <v>25</v>
      </c>
      <c r="H71" s="22" t="s">
        <v>226</v>
      </c>
      <c r="I71" s="22" t="s">
        <v>227</v>
      </c>
      <c r="J71" s="22" t="s">
        <v>28</v>
      </c>
      <c r="K71" s="125">
        <v>3322.3435819999995</v>
      </c>
      <c r="L71" s="125">
        <v>3355.0743120000002</v>
      </c>
      <c r="M71" s="125">
        <v>3147.4107450000001</v>
      </c>
      <c r="N71" s="125">
        <v>3280.722076</v>
      </c>
      <c r="O71" s="125">
        <v>3132.4060289999998</v>
      </c>
      <c r="P71" s="125">
        <v>7.64</v>
      </c>
      <c r="Q71" s="126">
        <v>44228</v>
      </c>
      <c r="R71" s="22" t="s">
        <v>228</v>
      </c>
      <c r="S71" s="22" t="s">
        <v>41</v>
      </c>
      <c r="T71" s="22" t="s">
        <v>42</v>
      </c>
      <c r="U71" s="22" t="s">
        <v>42</v>
      </c>
      <c r="V71" s="128">
        <v>25632.76774368</v>
      </c>
      <c r="W71" s="128">
        <v>24046.218091800001</v>
      </c>
      <c r="X71" s="128">
        <v>25064.716660639999</v>
      </c>
      <c r="Y71" s="127">
        <v>0.8</v>
      </c>
      <c r="Z71" s="127">
        <v>0.6</v>
      </c>
      <c r="AA71" s="128">
        <v>20506.214194944001</v>
      </c>
      <c r="AB71" s="128">
        <v>14427.730855080001</v>
      </c>
      <c r="AC71" s="127">
        <v>0.65</v>
      </c>
      <c r="AD71" s="127">
        <v>0.35</v>
      </c>
      <c r="AE71" s="160">
        <v>18378.7450259916</v>
      </c>
      <c r="AF71" s="164">
        <f>_xlfn.IFNA(INDEX('PGM Values'!$D$9:$D$17,MATCH('Raw Forecasting NPS Data'!$C71,'PGM Values'!$B$9:$B$17,0)),0)</f>
        <v>11542</v>
      </c>
      <c r="AG71" s="129">
        <f>_xlfn.IFNA(INDEX('PGM Values'!$C$9:$C$17,MATCH('Raw Forecasting NPS Data'!$C71,'PGM Values'!$B$9:$B$17,0)),0)</f>
        <v>11542</v>
      </c>
      <c r="AH71" s="129">
        <f t="shared" ref="AH71:AH134" si="7">AE71*AF71</f>
        <v>212127475.08999506</v>
      </c>
      <c r="AI71" s="165">
        <f t="shared" ref="AI71:AI134" si="8">AE71*AG71</f>
        <v>212127475.08999506</v>
      </c>
    </row>
    <row r="72" spans="3:35" x14ac:dyDescent="0.35">
      <c r="C72" s="180" t="str">
        <f>INDEX('Finance to Brand Mapping'!$D$7:$D$100,MATCH('Raw Forecasting NPS Data'!$I72,'Finance to Brand Mapping'!$C$7:$C$100,0))</f>
        <v>Keytruda-Lynparza</v>
      </c>
      <c r="D72" s="138" t="s">
        <v>229</v>
      </c>
      <c r="E72" s="22" t="s">
        <v>230</v>
      </c>
      <c r="F72" s="22" t="s">
        <v>24</v>
      </c>
      <c r="G72" s="22" t="s">
        <v>231</v>
      </c>
      <c r="H72" s="22" t="s">
        <v>232</v>
      </c>
      <c r="I72" s="22" t="s">
        <v>233</v>
      </c>
      <c r="J72" s="22" t="s">
        <v>28</v>
      </c>
      <c r="K72" s="125">
        <v>0</v>
      </c>
      <c r="L72" s="125">
        <v>63.996402999999994</v>
      </c>
      <c r="M72" s="125">
        <v>639.96898499999998</v>
      </c>
      <c r="N72" s="125">
        <v>520.41000900000006</v>
      </c>
      <c r="O72" s="125">
        <v>358.59682600000002</v>
      </c>
      <c r="P72" s="125">
        <v>9.9957261999999893</v>
      </c>
      <c r="Q72" s="126">
        <v>45537</v>
      </c>
      <c r="R72" s="22" t="s">
        <v>234</v>
      </c>
      <c r="S72" s="22">
        <v>24</v>
      </c>
      <c r="T72" s="22" t="s">
        <v>30</v>
      </c>
      <c r="U72" s="22" t="s">
        <v>31</v>
      </c>
      <c r="V72" s="128">
        <v>639.69052217285787</v>
      </c>
      <c r="W72" s="128">
        <v>6396.9547505519004</v>
      </c>
      <c r="X72" s="128">
        <v>5201.8759617035312</v>
      </c>
      <c r="Y72" s="127">
        <v>1</v>
      </c>
      <c r="Z72" s="127">
        <v>1</v>
      </c>
      <c r="AA72" s="128">
        <v>639.69052217285787</v>
      </c>
      <c r="AB72" s="128">
        <v>6396.9547505519004</v>
      </c>
      <c r="AC72" s="127">
        <v>0.2</v>
      </c>
      <c r="AD72" s="127">
        <v>0.8</v>
      </c>
      <c r="AE72" s="160">
        <v>5245.5019048760923</v>
      </c>
      <c r="AF72" s="164">
        <f>_xlfn.IFNA(INDEX('PGM Values'!$D$9:$D$17,MATCH('Raw Forecasting NPS Data'!$C72,'PGM Values'!$B$9:$B$17,0)),0)</f>
        <v>21183</v>
      </c>
      <c r="AG72" s="129">
        <f>_xlfn.IFNA(INDEX('PGM Values'!$C$9:$C$17,MATCH('Raw Forecasting NPS Data'!$C72,'PGM Values'!$B$9:$B$17,0)),0)</f>
        <v>16362.5</v>
      </c>
      <c r="AH72" s="129">
        <f t="shared" si="7"/>
        <v>111115466.85099027</v>
      </c>
      <c r="AI72" s="165">
        <f t="shared" si="8"/>
        <v>85829524.918535054</v>
      </c>
    </row>
    <row r="73" spans="3:35" x14ac:dyDescent="0.35">
      <c r="C73" s="180" t="str">
        <f>INDEX('Finance to Brand Mapping'!$D$7:$D$100,MATCH('Raw Forecasting NPS Data'!$I73,'Finance to Brand Mapping'!$C$7:$C$100,0))</f>
        <v>Keytruda-Lynparza</v>
      </c>
      <c r="D73" s="138" t="s">
        <v>229</v>
      </c>
      <c r="E73" s="22" t="s">
        <v>230</v>
      </c>
      <c r="F73" s="22" t="s">
        <v>24</v>
      </c>
      <c r="G73" s="22" t="s">
        <v>235</v>
      </c>
      <c r="H73" s="22" t="s">
        <v>232</v>
      </c>
      <c r="I73" s="22" t="s">
        <v>233</v>
      </c>
      <c r="J73" s="22" t="s">
        <v>28</v>
      </c>
      <c r="K73" s="125">
        <v>0</v>
      </c>
      <c r="L73" s="125">
        <v>29.366517000000002</v>
      </c>
      <c r="M73" s="125">
        <v>264.60091699999998</v>
      </c>
      <c r="N73" s="125">
        <v>172.58931600000003</v>
      </c>
      <c r="O73" s="125">
        <v>85.653918000000004</v>
      </c>
      <c r="P73" s="125">
        <v>9.9957261999999893</v>
      </c>
      <c r="Q73" s="126">
        <v>45537</v>
      </c>
      <c r="R73" s="22" t="s">
        <v>234</v>
      </c>
      <c r="S73" s="22">
        <v>24</v>
      </c>
      <c r="T73" s="22" t="s">
        <v>30</v>
      </c>
      <c r="U73" s="22" t="s">
        <v>31</v>
      </c>
      <c r="V73" s="128">
        <v>293.53966337964511</v>
      </c>
      <c r="W73" s="128">
        <v>2644.8783186009223</v>
      </c>
      <c r="X73" s="128">
        <v>1725.1555477812776</v>
      </c>
      <c r="Y73" s="127">
        <v>1</v>
      </c>
      <c r="Z73" s="127">
        <v>1</v>
      </c>
      <c r="AA73" s="128">
        <v>293.53966337964511</v>
      </c>
      <c r="AB73" s="128">
        <v>2644.8783186009223</v>
      </c>
      <c r="AC73" s="127">
        <v>0.2</v>
      </c>
      <c r="AD73" s="127">
        <v>0.8</v>
      </c>
      <c r="AE73" s="160">
        <v>2174.6105875566668</v>
      </c>
      <c r="AF73" s="164">
        <f>_xlfn.IFNA(INDEX('PGM Values'!$D$9:$D$17,MATCH('Raw Forecasting NPS Data'!$C73,'PGM Values'!$B$9:$B$17,0)),0)</f>
        <v>21183</v>
      </c>
      <c r="AG73" s="129">
        <f>_xlfn.IFNA(INDEX('PGM Values'!$C$9:$C$17,MATCH('Raw Forecasting NPS Data'!$C73,'PGM Values'!$B$9:$B$17,0)),0)</f>
        <v>16362.5</v>
      </c>
      <c r="AH73" s="129">
        <f t="shared" si="7"/>
        <v>46064776.076212876</v>
      </c>
      <c r="AI73" s="165">
        <f t="shared" si="8"/>
        <v>35582065.73889596</v>
      </c>
    </row>
    <row r="74" spans="3:35" x14ac:dyDescent="0.35">
      <c r="C74" s="180" t="str">
        <f>INDEX('Finance to Brand Mapping'!$D$7:$D$100,MATCH('Raw Forecasting NPS Data'!$I74,'Finance to Brand Mapping'!$C$7:$C$100,0))</f>
        <v>Keytruda-Lynparza</v>
      </c>
      <c r="D74" s="138" t="s">
        <v>229</v>
      </c>
      <c r="E74" s="22" t="s">
        <v>230</v>
      </c>
      <c r="F74" s="22" t="s">
        <v>24</v>
      </c>
      <c r="G74" s="22" t="s">
        <v>236</v>
      </c>
      <c r="H74" s="22" t="s">
        <v>232</v>
      </c>
      <c r="I74" s="22" t="s">
        <v>233</v>
      </c>
      <c r="J74" s="22" t="s">
        <v>28</v>
      </c>
      <c r="K74" s="125">
        <v>0</v>
      </c>
      <c r="L74" s="125">
        <v>68.870102000000003</v>
      </c>
      <c r="M74" s="125">
        <v>688.88256699999999</v>
      </c>
      <c r="N74" s="125">
        <v>565.11237800000004</v>
      </c>
      <c r="O74" s="125">
        <v>394.16998100000001</v>
      </c>
      <c r="P74" s="125">
        <v>9.9957261999999893</v>
      </c>
      <c r="Q74" s="126">
        <v>45537</v>
      </c>
      <c r="R74" s="22" t="s">
        <v>234</v>
      </c>
      <c r="S74" s="22">
        <v>24</v>
      </c>
      <c r="T74" s="22" t="s">
        <v>30</v>
      </c>
      <c r="U74" s="22" t="s">
        <v>31</v>
      </c>
      <c r="V74" s="128">
        <v>688.40668295807166</v>
      </c>
      <c r="W74" s="128">
        <v>6885.8815236851478</v>
      </c>
      <c r="X74" s="128">
        <v>5648.708602718898</v>
      </c>
      <c r="Y74" s="127">
        <v>1</v>
      </c>
      <c r="Z74" s="127">
        <v>1</v>
      </c>
      <c r="AA74" s="128">
        <v>688.40668295807166</v>
      </c>
      <c r="AB74" s="128">
        <v>6885.8815236851478</v>
      </c>
      <c r="AC74" s="127">
        <v>0.2</v>
      </c>
      <c r="AD74" s="127">
        <v>0.8</v>
      </c>
      <c r="AE74" s="160">
        <v>5646.3865555397324</v>
      </c>
      <c r="AF74" s="164">
        <f>_xlfn.IFNA(INDEX('PGM Values'!$D$9:$D$17,MATCH('Raw Forecasting NPS Data'!$C74,'PGM Values'!$B$9:$B$17,0)),0)</f>
        <v>21183</v>
      </c>
      <c r="AG74" s="129">
        <f>_xlfn.IFNA(INDEX('PGM Values'!$C$9:$C$17,MATCH('Raw Forecasting NPS Data'!$C74,'PGM Values'!$B$9:$B$17,0)),0)</f>
        <v>16362.5</v>
      </c>
      <c r="AH74" s="129">
        <f t="shared" si="7"/>
        <v>119607406.40599816</v>
      </c>
      <c r="AI74" s="165">
        <f t="shared" si="8"/>
        <v>92389000.015018865</v>
      </c>
    </row>
    <row r="75" spans="3:35" x14ac:dyDescent="0.35">
      <c r="C75" s="180" t="str">
        <f>INDEX('Finance to Brand Mapping'!$D$7:$D$100,MATCH('Raw Forecasting NPS Data'!$I75,'Finance to Brand Mapping'!$C$7:$C$100,0))</f>
        <v>Keytruda-Lynparza</v>
      </c>
      <c r="D75" s="138" t="s">
        <v>229</v>
      </c>
      <c r="E75" s="22" t="s">
        <v>230</v>
      </c>
      <c r="F75" s="22" t="s">
        <v>24</v>
      </c>
      <c r="G75" s="22" t="s">
        <v>25</v>
      </c>
      <c r="H75" s="22" t="s">
        <v>232</v>
      </c>
      <c r="I75" s="22" t="s">
        <v>233</v>
      </c>
      <c r="J75" s="22" t="s">
        <v>28</v>
      </c>
      <c r="K75" s="125">
        <v>0</v>
      </c>
      <c r="L75" s="125">
        <v>86.897588000000013</v>
      </c>
      <c r="M75" s="125">
        <v>869.22614599999997</v>
      </c>
      <c r="N75" s="125">
        <v>713.64667799999995</v>
      </c>
      <c r="O75" s="125">
        <v>464.87222999999994</v>
      </c>
      <c r="P75" s="125">
        <v>9.9957261999999893</v>
      </c>
      <c r="Q75" s="126">
        <v>45537</v>
      </c>
      <c r="R75" s="22" t="s">
        <v>234</v>
      </c>
      <c r="S75" s="22">
        <v>24</v>
      </c>
      <c r="T75" s="22" t="s">
        <v>30</v>
      </c>
      <c r="U75" s="22" t="s">
        <v>31</v>
      </c>
      <c r="V75" s="128">
        <v>868.60449708840486</v>
      </c>
      <c r="W75" s="128">
        <v>8688.5465612972148</v>
      </c>
      <c r="X75" s="128">
        <v>7133.4167968275551</v>
      </c>
      <c r="Y75" s="127">
        <v>1</v>
      </c>
      <c r="Z75" s="127">
        <v>1</v>
      </c>
      <c r="AA75" s="128">
        <v>868.60449708840486</v>
      </c>
      <c r="AB75" s="128">
        <v>8688.5465612972148</v>
      </c>
      <c r="AC75" s="127">
        <v>0.2</v>
      </c>
      <c r="AD75" s="127">
        <v>0.8</v>
      </c>
      <c r="AE75" s="160">
        <v>7124.5581484554532</v>
      </c>
      <c r="AF75" s="164">
        <f>_xlfn.IFNA(INDEX('PGM Values'!$D$9:$D$17,MATCH('Raw Forecasting NPS Data'!$C75,'PGM Values'!$B$9:$B$17,0)),0)</f>
        <v>21183</v>
      </c>
      <c r="AG75" s="129">
        <f>_xlfn.IFNA(INDEX('PGM Values'!$C$9:$C$17,MATCH('Raw Forecasting NPS Data'!$C75,'PGM Values'!$B$9:$B$17,0)),0)</f>
        <v>16362.5</v>
      </c>
      <c r="AH75" s="129">
        <f t="shared" si="7"/>
        <v>150919515.25873187</v>
      </c>
      <c r="AI75" s="165">
        <f t="shared" si="8"/>
        <v>116575582.70410235</v>
      </c>
    </row>
    <row r="76" spans="3:35" x14ac:dyDescent="0.35">
      <c r="C76" s="180" t="str">
        <f>INDEX('Finance to Brand Mapping'!$D$7:$D$100,MATCH('Raw Forecasting NPS Data'!$I76,'Finance to Brand Mapping'!$C$7:$C$100,0))</f>
        <v>Keytruda-Lynparza</v>
      </c>
      <c r="D76" s="138" t="s">
        <v>229</v>
      </c>
      <c r="E76" s="22" t="s">
        <v>230</v>
      </c>
      <c r="F76" s="22" t="s">
        <v>24</v>
      </c>
      <c r="G76" s="22" t="s">
        <v>231</v>
      </c>
      <c r="H76" s="22" t="s">
        <v>232</v>
      </c>
      <c r="I76" s="22" t="s">
        <v>233</v>
      </c>
      <c r="J76" s="22" t="s">
        <v>28</v>
      </c>
      <c r="K76" s="125">
        <v>0</v>
      </c>
      <c r="L76" s="125">
        <v>69.074083999999999</v>
      </c>
      <c r="M76" s="125">
        <v>355.83328400000005</v>
      </c>
      <c r="N76" s="125">
        <v>305.73371900000001</v>
      </c>
      <c r="O76" s="125">
        <v>239.21171999999999</v>
      </c>
      <c r="P76" s="125">
        <v>9.9957261999999893</v>
      </c>
      <c r="Q76" s="126">
        <v>45475</v>
      </c>
      <c r="R76" s="22" t="s">
        <v>234</v>
      </c>
      <c r="S76" s="22">
        <v>24</v>
      </c>
      <c r="T76" s="22" t="s">
        <v>30</v>
      </c>
      <c r="U76" s="22" t="s">
        <v>31</v>
      </c>
      <c r="V76" s="128">
        <v>690.4456311798001</v>
      </c>
      <c r="W76" s="128">
        <v>3556.8120797108377</v>
      </c>
      <c r="X76" s="128">
        <v>3056.0305452317348</v>
      </c>
      <c r="Y76" s="127">
        <v>1</v>
      </c>
      <c r="Z76" s="127">
        <v>1</v>
      </c>
      <c r="AA76" s="128">
        <v>690.4456311798001</v>
      </c>
      <c r="AB76" s="128">
        <v>3556.8120797108377</v>
      </c>
      <c r="AC76" s="127">
        <v>0.3</v>
      </c>
      <c r="AD76" s="127">
        <v>0.7</v>
      </c>
      <c r="AE76" s="160">
        <v>2696.9021451515264</v>
      </c>
      <c r="AF76" s="164">
        <f>_xlfn.IFNA(INDEX('PGM Values'!$D$9:$D$17,MATCH('Raw Forecasting NPS Data'!$C76,'PGM Values'!$B$9:$B$17,0)),0)</f>
        <v>21183</v>
      </c>
      <c r="AG76" s="129">
        <f>_xlfn.IFNA(INDEX('PGM Values'!$C$9:$C$17,MATCH('Raw Forecasting NPS Data'!$C76,'PGM Values'!$B$9:$B$17,0)),0)</f>
        <v>16362.5</v>
      </c>
      <c r="AH76" s="129">
        <f t="shared" si="7"/>
        <v>57128478.140744783</v>
      </c>
      <c r="AI76" s="165">
        <f t="shared" si="8"/>
        <v>44128061.350041851</v>
      </c>
    </row>
    <row r="77" spans="3:35" x14ac:dyDescent="0.35">
      <c r="C77" s="180" t="str">
        <f>INDEX('Finance to Brand Mapping'!$D$7:$D$100,MATCH('Raw Forecasting NPS Data'!$I77,'Finance to Brand Mapping'!$C$7:$C$100,0))</f>
        <v>Keytruda-Lynparza</v>
      </c>
      <c r="D77" s="138" t="s">
        <v>229</v>
      </c>
      <c r="E77" s="22" t="s">
        <v>230</v>
      </c>
      <c r="F77" s="22" t="s">
        <v>24</v>
      </c>
      <c r="G77" s="22" t="s">
        <v>235</v>
      </c>
      <c r="H77" s="22" t="s">
        <v>232</v>
      </c>
      <c r="I77" s="22" t="s">
        <v>233</v>
      </c>
      <c r="J77" s="22" t="s">
        <v>28</v>
      </c>
      <c r="K77" s="125">
        <v>0</v>
      </c>
      <c r="L77" s="125">
        <v>29.921585</v>
      </c>
      <c r="M77" s="125">
        <v>157.18203099999999</v>
      </c>
      <c r="N77" s="125">
        <v>123.944819</v>
      </c>
      <c r="O77" s="125">
        <v>88.518537000000009</v>
      </c>
      <c r="P77" s="125">
        <v>9.9957261999999893</v>
      </c>
      <c r="Q77" s="126">
        <v>45475</v>
      </c>
      <c r="R77" s="22" t="s">
        <v>234</v>
      </c>
      <c r="S77" s="22">
        <v>24</v>
      </c>
      <c r="T77" s="22" t="s">
        <v>30</v>
      </c>
      <c r="U77" s="22" t="s">
        <v>31</v>
      </c>
      <c r="V77" s="128">
        <v>299.08797113002669</v>
      </c>
      <c r="W77" s="128">
        <v>1571.1485454359104</v>
      </c>
      <c r="X77" s="128">
        <v>1238.9184746325564</v>
      </c>
      <c r="Y77" s="127">
        <v>1</v>
      </c>
      <c r="Z77" s="127">
        <v>1</v>
      </c>
      <c r="AA77" s="128">
        <v>299.08797113002669</v>
      </c>
      <c r="AB77" s="128">
        <v>1571.1485454359104</v>
      </c>
      <c r="AC77" s="127">
        <v>0.3</v>
      </c>
      <c r="AD77" s="127">
        <v>0.7</v>
      </c>
      <c r="AE77" s="160">
        <v>1189.5303731441452</v>
      </c>
      <c r="AF77" s="164">
        <f>_xlfn.IFNA(INDEX('PGM Values'!$D$9:$D$17,MATCH('Raw Forecasting NPS Data'!$C77,'PGM Values'!$B$9:$B$17,0)),0)</f>
        <v>21183</v>
      </c>
      <c r="AG77" s="129">
        <f>_xlfn.IFNA(INDEX('PGM Values'!$C$9:$C$17,MATCH('Raw Forecasting NPS Data'!$C77,'PGM Values'!$B$9:$B$17,0)),0)</f>
        <v>16362.5</v>
      </c>
      <c r="AH77" s="129">
        <f t="shared" si="7"/>
        <v>25197821.894312426</v>
      </c>
      <c r="AI77" s="165">
        <f t="shared" si="8"/>
        <v>19463690.730571076</v>
      </c>
    </row>
    <row r="78" spans="3:35" x14ac:dyDescent="0.35">
      <c r="C78" s="180" t="str">
        <f>INDEX('Finance to Brand Mapping'!$D$7:$D$100,MATCH('Raw Forecasting NPS Data'!$I78,'Finance to Brand Mapping'!$C$7:$C$100,0))</f>
        <v>Keytruda-Lynparza</v>
      </c>
      <c r="D78" s="138" t="s">
        <v>229</v>
      </c>
      <c r="E78" s="22" t="s">
        <v>230</v>
      </c>
      <c r="F78" s="22" t="s">
        <v>24</v>
      </c>
      <c r="G78" s="22" t="s">
        <v>236</v>
      </c>
      <c r="H78" s="22" t="s">
        <v>232</v>
      </c>
      <c r="I78" s="22" t="s">
        <v>233</v>
      </c>
      <c r="J78" s="22" t="s">
        <v>28</v>
      </c>
      <c r="K78" s="125">
        <v>0</v>
      </c>
      <c r="L78" s="125">
        <v>76.039956999999987</v>
      </c>
      <c r="M78" s="125">
        <v>391.71779700000002</v>
      </c>
      <c r="N78" s="125">
        <v>278.56619700000005</v>
      </c>
      <c r="O78" s="125">
        <v>174.45081400000004</v>
      </c>
      <c r="P78" s="125">
        <v>9.9957261999999893</v>
      </c>
      <c r="Q78" s="126">
        <v>45475</v>
      </c>
      <c r="R78" s="22" t="s">
        <v>234</v>
      </c>
      <c r="S78" s="22">
        <v>24</v>
      </c>
      <c r="T78" s="22" t="s">
        <v>30</v>
      </c>
      <c r="U78" s="22" t="s">
        <v>31</v>
      </c>
      <c r="V78" s="128">
        <v>760.07459043177244</v>
      </c>
      <c r="W78" s="128">
        <v>3915.5038464791774</v>
      </c>
      <c r="X78" s="128">
        <v>2784.4714337872588</v>
      </c>
      <c r="Y78" s="127">
        <v>1</v>
      </c>
      <c r="Z78" s="127">
        <v>1</v>
      </c>
      <c r="AA78" s="128">
        <v>760.07459043177244</v>
      </c>
      <c r="AB78" s="128">
        <v>3915.5038464791774</v>
      </c>
      <c r="AC78" s="127">
        <v>0.3</v>
      </c>
      <c r="AD78" s="127">
        <v>0.7</v>
      </c>
      <c r="AE78" s="160">
        <v>2968.8750696649558</v>
      </c>
      <c r="AF78" s="164">
        <f>_xlfn.IFNA(INDEX('PGM Values'!$D$9:$D$17,MATCH('Raw Forecasting NPS Data'!$C78,'PGM Values'!$B$9:$B$17,0)),0)</f>
        <v>21183</v>
      </c>
      <c r="AG78" s="129">
        <f>_xlfn.IFNA(INDEX('PGM Values'!$C$9:$C$17,MATCH('Raw Forecasting NPS Data'!$C78,'PGM Values'!$B$9:$B$17,0)),0)</f>
        <v>16362.5</v>
      </c>
      <c r="AH78" s="129">
        <f t="shared" si="7"/>
        <v>62889680.600712761</v>
      </c>
      <c r="AI78" s="165">
        <f t="shared" si="8"/>
        <v>48578218.327392839</v>
      </c>
    </row>
    <row r="79" spans="3:35" x14ac:dyDescent="0.35">
      <c r="C79" s="180" t="str">
        <f>INDEX('Finance to Brand Mapping'!$D$7:$D$100,MATCH('Raw Forecasting NPS Data'!$I79,'Finance to Brand Mapping'!$C$7:$C$100,0))</f>
        <v>Keytruda-Lynparza</v>
      </c>
      <c r="D79" s="138" t="s">
        <v>229</v>
      </c>
      <c r="E79" s="22" t="s">
        <v>230</v>
      </c>
      <c r="F79" s="22" t="s">
        <v>24</v>
      </c>
      <c r="G79" s="22" t="s">
        <v>25</v>
      </c>
      <c r="H79" s="22" t="s">
        <v>232</v>
      </c>
      <c r="I79" s="22" t="s">
        <v>233</v>
      </c>
      <c r="J79" s="22" t="s">
        <v>28</v>
      </c>
      <c r="K79" s="125">
        <v>0</v>
      </c>
      <c r="L79" s="125">
        <v>130.151994</v>
      </c>
      <c r="M79" s="125">
        <v>670.47450500000002</v>
      </c>
      <c r="N79" s="125">
        <v>496.04236599999996</v>
      </c>
      <c r="O79" s="125">
        <v>336.10957200000001</v>
      </c>
      <c r="P79" s="125">
        <v>9.9957261999999893</v>
      </c>
      <c r="Q79" s="126">
        <v>45475</v>
      </c>
      <c r="R79" s="22" t="s">
        <v>234</v>
      </c>
      <c r="S79" s="22">
        <v>24</v>
      </c>
      <c r="T79" s="22" t="s">
        <v>30</v>
      </c>
      <c r="U79" s="22" t="s">
        <v>31</v>
      </c>
      <c r="V79" s="128">
        <v>1300.9636964080414</v>
      </c>
      <c r="W79" s="128">
        <v>6701.8795760605244</v>
      </c>
      <c r="X79" s="128">
        <v>4958.3036741361839</v>
      </c>
      <c r="Y79" s="127">
        <v>1</v>
      </c>
      <c r="Z79" s="127">
        <v>1</v>
      </c>
      <c r="AA79" s="128">
        <v>1300.9636964080414</v>
      </c>
      <c r="AB79" s="128">
        <v>6701.8795760605244</v>
      </c>
      <c r="AC79" s="127">
        <v>0.3</v>
      </c>
      <c r="AD79" s="127">
        <v>0.7</v>
      </c>
      <c r="AE79" s="160">
        <v>5081.6048121647791</v>
      </c>
      <c r="AF79" s="164">
        <f>_xlfn.IFNA(INDEX('PGM Values'!$D$9:$D$17,MATCH('Raw Forecasting NPS Data'!$C79,'PGM Values'!$B$9:$B$17,0)),0)</f>
        <v>21183</v>
      </c>
      <c r="AG79" s="129">
        <f>_xlfn.IFNA(INDEX('PGM Values'!$C$9:$C$17,MATCH('Raw Forecasting NPS Data'!$C79,'PGM Values'!$B$9:$B$17,0)),0)</f>
        <v>16362.5</v>
      </c>
      <c r="AH79" s="129">
        <f t="shared" si="7"/>
        <v>107643634.73608652</v>
      </c>
      <c r="AI79" s="165">
        <f t="shared" si="8"/>
        <v>83147758.739046201</v>
      </c>
    </row>
    <row r="80" spans="3:35" x14ac:dyDescent="0.35">
      <c r="C80" s="180" t="str">
        <f>INDEX('Finance to Brand Mapping'!$D$7:$D$100,MATCH('Raw Forecasting NPS Data'!$I80,'Finance to Brand Mapping'!$C$7:$C$100,0))</f>
        <v>Keytruda</v>
      </c>
      <c r="D80" s="138" t="s">
        <v>229</v>
      </c>
      <c r="E80" s="22" t="s">
        <v>237</v>
      </c>
      <c r="F80" s="22">
        <v>1</v>
      </c>
      <c r="G80" s="22" t="s">
        <v>231</v>
      </c>
      <c r="H80" s="22" t="s">
        <v>238</v>
      </c>
      <c r="I80" s="22" t="s">
        <v>239</v>
      </c>
      <c r="J80" s="22" t="s">
        <v>28</v>
      </c>
      <c r="K80" s="125">
        <v>0</v>
      </c>
      <c r="L80" s="125">
        <v>0</v>
      </c>
      <c r="M80" s="125">
        <v>0</v>
      </c>
      <c r="N80" s="125">
        <v>0</v>
      </c>
      <c r="O80" s="125">
        <v>419.541043</v>
      </c>
      <c r="P80" s="125">
        <v>7.8571900640000001</v>
      </c>
      <c r="Q80" s="126">
        <v>46540</v>
      </c>
      <c r="R80" s="22"/>
      <c r="S80" s="22" t="s">
        <v>103</v>
      </c>
      <c r="T80" s="22" t="s">
        <v>104</v>
      </c>
      <c r="U80" s="22" t="s">
        <v>72</v>
      </c>
      <c r="V80" s="128">
        <v>0</v>
      </c>
      <c r="W80" s="128">
        <v>0</v>
      </c>
      <c r="X80" s="128">
        <v>0</v>
      </c>
      <c r="Y80" s="127" t="s">
        <v>72</v>
      </c>
      <c r="Z80" s="127" t="s">
        <v>72</v>
      </c>
      <c r="AA80" s="128" t="s">
        <v>32</v>
      </c>
      <c r="AB80" s="128" t="s">
        <v>32</v>
      </c>
      <c r="AC80" s="127" t="s">
        <v>72</v>
      </c>
      <c r="AD80" s="127" t="s">
        <v>72</v>
      </c>
      <c r="AE80" s="160">
        <v>0</v>
      </c>
      <c r="AF80" s="164">
        <f>_xlfn.IFNA(INDEX('PGM Values'!$D$9:$D$17,MATCH('Raw Forecasting NPS Data'!$C80,'PGM Values'!$B$9:$B$17,0)),0)</f>
        <v>11542</v>
      </c>
      <c r="AG80" s="129">
        <f>_xlfn.IFNA(INDEX('PGM Values'!$C$9:$C$17,MATCH('Raw Forecasting NPS Data'!$C80,'PGM Values'!$B$9:$B$17,0)),0)</f>
        <v>11542</v>
      </c>
      <c r="AH80" s="129">
        <f t="shared" si="7"/>
        <v>0</v>
      </c>
      <c r="AI80" s="165">
        <f t="shared" si="8"/>
        <v>0</v>
      </c>
    </row>
    <row r="81" spans="3:35" x14ac:dyDescent="0.35">
      <c r="C81" s="180" t="str">
        <f>INDEX('Finance to Brand Mapping'!$D$7:$D$100,MATCH('Raw Forecasting NPS Data'!$I81,'Finance to Brand Mapping'!$C$7:$C$100,0))</f>
        <v>Keytruda</v>
      </c>
      <c r="D81" s="138" t="s">
        <v>229</v>
      </c>
      <c r="E81" s="22" t="s">
        <v>237</v>
      </c>
      <c r="F81" s="22">
        <v>1</v>
      </c>
      <c r="G81" s="22" t="s">
        <v>236</v>
      </c>
      <c r="H81" s="22" t="s">
        <v>238</v>
      </c>
      <c r="I81" s="22" t="s">
        <v>239</v>
      </c>
      <c r="J81" s="22" t="s">
        <v>28</v>
      </c>
      <c r="K81" s="125">
        <v>0</v>
      </c>
      <c r="L81" s="125">
        <v>0</v>
      </c>
      <c r="M81" s="125">
        <v>0</v>
      </c>
      <c r="N81" s="125">
        <v>0</v>
      </c>
      <c r="O81" s="125">
        <v>309.944684</v>
      </c>
      <c r="P81" s="125">
        <v>7.8571900640000001</v>
      </c>
      <c r="Q81" s="126">
        <v>46540</v>
      </c>
      <c r="R81" s="22"/>
      <c r="S81" s="22" t="s">
        <v>103</v>
      </c>
      <c r="T81" s="22" t="s">
        <v>104</v>
      </c>
      <c r="U81" s="22" t="s">
        <v>72</v>
      </c>
      <c r="V81" s="128">
        <v>0</v>
      </c>
      <c r="W81" s="128">
        <v>0</v>
      </c>
      <c r="X81" s="128">
        <v>0</v>
      </c>
      <c r="Y81" s="127" t="s">
        <v>72</v>
      </c>
      <c r="Z81" s="127" t="s">
        <v>72</v>
      </c>
      <c r="AA81" s="128" t="s">
        <v>32</v>
      </c>
      <c r="AB81" s="128" t="s">
        <v>32</v>
      </c>
      <c r="AC81" s="127" t="s">
        <v>72</v>
      </c>
      <c r="AD81" s="127" t="s">
        <v>72</v>
      </c>
      <c r="AE81" s="160">
        <v>0</v>
      </c>
      <c r="AF81" s="164">
        <f>_xlfn.IFNA(INDEX('PGM Values'!$D$9:$D$17,MATCH('Raw Forecasting NPS Data'!$C81,'PGM Values'!$B$9:$B$17,0)),0)</f>
        <v>11542</v>
      </c>
      <c r="AG81" s="129">
        <f>_xlfn.IFNA(INDEX('PGM Values'!$C$9:$C$17,MATCH('Raw Forecasting NPS Data'!$C81,'PGM Values'!$B$9:$B$17,0)),0)</f>
        <v>11542</v>
      </c>
      <c r="AH81" s="129">
        <f t="shared" si="7"/>
        <v>0</v>
      </c>
      <c r="AI81" s="165">
        <f t="shared" si="8"/>
        <v>0</v>
      </c>
    </row>
    <row r="82" spans="3:35" x14ac:dyDescent="0.35">
      <c r="C82" s="180" t="str">
        <f>INDEX('Finance to Brand Mapping'!$D$7:$D$100,MATCH('Raw Forecasting NPS Data'!$I82,'Finance to Brand Mapping'!$C$7:$C$100,0))</f>
        <v>Keytruda</v>
      </c>
      <c r="D82" s="138" t="s">
        <v>229</v>
      </c>
      <c r="E82" s="22" t="s">
        <v>237</v>
      </c>
      <c r="F82" s="22">
        <v>1</v>
      </c>
      <c r="G82" s="22" t="s">
        <v>25</v>
      </c>
      <c r="H82" s="22" t="s">
        <v>238</v>
      </c>
      <c r="I82" s="22" t="s">
        <v>239</v>
      </c>
      <c r="J82" s="22" t="s">
        <v>28</v>
      </c>
      <c r="K82" s="125">
        <v>0</v>
      </c>
      <c r="L82" s="125">
        <v>0</v>
      </c>
      <c r="M82" s="125">
        <v>0</v>
      </c>
      <c r="N82" s="125">
        <v>0</v>
      </c>
      <c r="O82" s="125">
        <v>708.73760000000004</v>
      </c>
      <c r="P82" s="125">
        <v>7.8571900640000001</v>
      </c>
      <c r="Q82" s="126">
        <v>46540</v>
      </c>
      <c r="R82" s="22"/>
      <c r="S82" s="22" t="s">
        <v>103</v>
      </c>
      <c r="T82" s="22" t="s">
        <v>104</v>
      </c>
      <c r="U82" s="22" t="s">
        <v>72</v>
      </c>
      <c r="V82" s="128">
        <v>0</v>
      </c>
      <c r="W82" s="128">
        <v>0</v>
      </c>
      <c r="X82" s="128">
        <v>0</v>
      </c>
      <c r="Y82" s="127" t="s">
        <v>72</v>
      </c>
      <c r="Z82" s="127" t="s">
        <v>72</v>
      </c>
      <c r="AA82" s="128" t="s">
        <v>32</v>
      </c>
      <c r="AB82" s="128" t="s">
        <v>32</v>
      </c>
      <c r="AC82" s="127" t="s">
        <v>72</v>
      </c>
      <c r="AD82" s="127" t="s">
        <v>72</v>
      </c>
      <c r="AE82" s="160">
        <v>0</v>
      </c>
      <c r="AF82" s="164">
        <f>_xlfn.IFNA(INDEX('PGM Values'!$D$9:$D$17,MATCH('Raw Forecasting NPS Data'!$C82,'PGM Values'!$B$9:$B$17,0)),0)</f>
        <v>11542</v>
      </c>
      <c r="AG82" s="129">
        <f>_xlfn.IFNA(INDEX('PGM Values'!$C$9:$C$17,MATCH('Raw Forecasting NPS Data'!$C82,'PGM Values'!$B$9:$B$17,0)),0)</f>
        <v>11542</v>
      </c>
      <c r="AH82" s="129">
        <f t="shared" si="7"/>
        <v>0</v>
      </c>
      <c r="AI82" s="165">
        <f t="shared" si="8"/>
        <v>0</v>
      </c>
    </row>
    <row r="83" spans="3:35" x14ac:dyDescent="0.35">
      <c r="C83" s="180" t="str">
        <f>INDEX('Finance to Brand Mapping'!$D$7:$D$100,MATCH('Raw Forecasting NPS Data'!$I83,'Finance to Brand Mapping'!$C$7:$C$100,0))</f>
        <v>Keytruda</v>
      </c>
      <c r="D83" s="138" t="s">
        <v>229</v>
      </c>
      <c r="E83" s="22" t="s">
        <v>240</v>
      </c>
      <c r="F83" s="22">
        <v>1</v>
      </c>
      <c r="G83" s="22" t="s">
        <v>235</v>
      </c>
      <c r="H83" s="22" t="s">
        <v>241</v>
      </c>
      <c r="I83" s="22" t="s">
        <v>239</v>
      </c>
      <c r="J83" s="22" t="s">
        <v>28</v>
      </c>
      <c r="K83" s="125">
        <v>0</v>
      </c>
      <c r="L83" s="125">
        <v>0</v>
      </c>
      <c r="M83" s="125">
        <v>0</v>
      </c>
      <c r="N83" s="125">
        <v>227.226832</v>
      </c>
      <c r="O83" s="125">
        <v>810.12677299999984</v>
      </c>
      <c r="P83" s="125">
        <v>7.8571900640000001</v>
      </c>
      <c r="Q83" s="126">
        <v>46175</v>
      </c>
      <c r="R83" s="22"/>
      <c r="S83" s="22" t="s">
        <v>103</v>
      </c>
      <c r="T83" s="22" t="s">
        <v>104</v>
      </c>
      <c r="U83" s="22" t="s">
        <v>72</v>
      </c>
      <c r="V83" s="128">
        <v>0</v>
      </c>
      <c r="W83" s="128">
        <v>0</v>
      </c>
      <c r="X83" s="128">
        <v>1785.3644066645973</v>
      </c>
      <c r="Y83" s="127" t="s">
        <v>72</v>
      </c>
      <c r="Z83" s="127" t="s">
        <v>72</v>
      </c>
      <c r="AA83" s="128" t="s">
        <v>32</v>
      </c>
      <c r="AB83" s="128" t="s">
        <v>32</v>
      </c>
      <c r="AC83" s="127" t="s">
        <v>72</v>
      </c>
      <c r="AD83" s="127" t="s">
        <v>72</v>
      </c>
      <c r="AE83" s="160">
        <v>0</v>
      </c>
      <c r="AF83" s="164">
        <f>_xlfn.IFNA(INDEX('PGM Values'!$D$9:$D$17,MATCH('Raw Forecasting NPS Data'!$C83,'PGM Values'!$B$9:$B$17,0)),0)</f>
        <v>11542</v>
      </c>
      <c r="AG83" s="129">
        <f>_xlfn.IFNA(INDEX('PGM Values'!$C$9:$C$17,MATCH('Raw Forecasting NPS Data'!$C83,'PGM Values'!$B$9:$B$17,0)),0)</f>
        <v>11542</v>
      </c>
      <c r="AH83" s="129">
        <f t="shared" si="7"/>
        <v>0</v>
      </c>
      <c r="AI83" s="165">
        <f t="shared" si="8"/>
        <v>0</v>
      </c>
    </row>
    <row r="84" spans="3:35" x14ac:dyDescent="0.35">
      <c r="C84" s="180" t="str">
        <f>INDEX('Finance to Brand Mapping'!$D$7:$D$100,MATCH('Raw Forecasting NPS Data'!$I84,'Finance to Brand Mapping'!$C$7:$C$100,0))</f>
        <v>Keytruda</v>
      </c>
      <c r="D84" s="138" t="s">
        <v>229</v>
      </c>
      <c r="E84" s="22" t="s">
        <v>240</v>
      </c>
      <c r="F84" s="22">
        <v>1</v>
      </c>
      <c r="G84" s="22" t="s">
        <v>235</v>
      </c>
      <c r="H84" s="22" t="s">
        <v>241</v>
      </c>
      <c r="I84" s="22" t="s">
        <v>239</v>
      </c>
      <c r="J84" s="22" t="s">
        <v>28</v>
      </c>
      <c r="K84" s="125">
        <v>0</v>
      </c>
      <c r="L84" s="125">
        <v>0</v>
      </c>
      <c r="M84" s="125">
        <v>0</v>
      </c>
      <c r="N84" s="125">
        <v>25.271135000000001</v>
      </c>
      <c r="O84" s="125">
        <v>90.098615000000009</v>
      </c>
      <c r="P84" s="125">
        <v>7.8571900640000001</v>
      </c>
      <c r="Q84" s="126">
        <v>46175</v>
      </c>
      <c r="R84" s="22"/>
      <c r="S84" s="22" t="s">
        <v>103</v>
      </c>
      <c r="T84" s="22" t="s">
        <v>104</v>
      </c>
      <c r="U84" s="22" t="s">
        <v>72</v>
      </c>
      <c r="V84" s="128">
        <v>0</v>
      </c>
      <c r="W84" s="128">
        <v>0</v>
      </c>
      <c r="X84" s="128">
        <v>198.56011082800265</v>
      </c>
      <c r="Y84" s="127" t="s">
        <v>72</v>
      </c>
      <c r="Z84" s="127" t="s">
        <v>72</v>
      </c>
      <c r="AA84" s="128" t="s">
        <v>32</v>
      </c>
      <c r="AB84" s="128" t="s">
        <v>32</v>
      </c>
      <c r="AC84" s="127" t="s">
        <v>72</v>
      </c>
      <c r="AD84" s="127" t="s">
        <v>72</v>
      </c>
      <c r="AE84" s="160">
        <v>0</v>
      </c>
      <c r="AF84" s="164">
        <f>_xlfn.IFNA(INDEX('PGM Values'!$D$9:$D$17,MATCH('Raw Forecasting NPS Data'!$C84,'PGM Values'!$B$9:$B$17,0)),0)</f>
        <v>11542</v>
      </c>
      <c r="AG84" s="129">
        <f>_xlfn.IFNA(INDEX('PGM Values'!$C$9:$C$17,MATCH('Raw Forecasting NPS Data'!$C84,'PGM Values'!$B$9:$B$17,0)),0)</f>
        <v>11542</v>
      </c>
      <c r="AH84" s="129">
        <f t="shared" si="7"/>
        <v>0</v>
      </c>
      <c r="AI84" s="165">
        <f t="shared" si="8"/>
        <v>0</v>
      </c>
    </row>
    <row r="85" spans="3:35" x14ac:dyDescent="0.35">
      <c r="C85" s="180" t="str">
        <f>INDEX('Finance to Brand Mapping'!$D$7:$D$100,MATCH('Raw Forecasting NPS Data'!$I85,'Finance to Brand Mapping'!$C$7:$C$100,0))</f>
        <v>Keytruda</v>
      </c>
      <c r="D85" s="138" t="s">
        <v>229</v>
      </c>
      <c r="E85" s="22" t="s">
        <v>242</v>
      </c>
      <c r="F85" s="22" t="s">
        <v>112</v>
      </c>
      <c r="G85" s="22" t="s">
        <v>25</v>
      </c>
      <c r="H85" s="22" t="s">
        <v>243</v>
      </c>
      <c r="I85" s="22" t="s">
        <v>244</v>
      </c>
      <c r="J85" s="22" t="s">
        <v>28</v>
      </c>
      <c r="K85" s="125">
        <v>118.349977</v>
      </c>
      <c r="L85" s="125">
        <v>1114.0766160000001</v>
      </c>
      <c r="M85" s="125">
        <v>823.21580399999993</v>
      </c>
      <c r="N85" s="125">
        <v>750.50767900000005</v>
      </c>
      <c r="O85" s="125">
        <v>655.63745800000004</v>
      </c>
      <c r="P85" s="125">
        <v>3</v>
      </c>
      <c r="Q85" s="126">
        <v>45201</v>
      </c>
      <c r="R85" s="22" t="s">
        <v>245</v>
      </c>
      <c r="S85" s="22" t="s">
        <v>41</v>
      </c>
      <c r="T85" s="22" t="s">
        <v>79</v>
      </c>
      <c r="U85" s="22" t="s">
        <v>80</v>
      </c>
      <c r="V85" s="128">
        <v>3342.2298479999999</v>
      </c>
      <c r="W85" s="128">
        <v>2469.6474119999998</v>
      </c>
      <c r="X85" s="128">
        <v>2251.5230369999999</v>
      </c>
      <c r="Y85" s="127">
        <v>1</v>
      </c>
      <c r="Z85" s="127">
        <v>0.8</v>
      </c>
      <c r="AA85" s="128">
        <v>3342.2298479999999</v>
      </c>
      <c r="AB85" s="128">
        <v>1975.7179295999999</v>
      </c>
      <c r="AC85" s="127">
        <v>0.65</v>
      </c>
      <c r="AD85" s="127">
        <v>0.35</v>
      </c>
      <c r="AE85" s="160">
        <v>2863.9506765599999</v>
      </c>
      <c r="AF85" s="164">
        <f>_xlfn.IFNA(INDEX('PGM Values'!$D$9:$D$17,MATCH('Raw Forecasting NPS Data'!$C85,'PGM Values'!$B$9:$B$17,0)),0)</f>
        <v>11542</v>
      </c>
      <c r="AG85" s="129">
        <f>_xlfn.IFNA(INDEX('PGM Values'!$C$9:$C$17,MATCH('Raw Forecasting NPS Data'!$C85,'PGM Values'!$B$9:$B$17,0)),0)</f>
        <v>11542</v>
      </c>
      <c r="AH85" s="129">
        <f t="shared" si="7"/>
        <v>33055718.708855521</v>
      </c>
      <c r="AI85" s="165">
        <f t="shared" si="8"/>
        <v>33055718.708855521</v>
      </c>
    </row>
    <row r="86" spans="3:35" x14ac:dyDescent="0.35">
      <c r="C86" s="180" t="str">
        <f>INDEX('Finance to Brand Mapping'!$D$7:$D$100,MATCH('Raw Forecasting NPS Data'!$I86,'Finance to Brand Mapping'!$C$7:$C$100,0))</f>
        <v>Keytruda</v>
      </c>
      <c r="D86" s="138" t="s">
        <v>229</v>
      </c>
      <c r="E86" s="22" t="s">
        <v>242</v>
      </c>
      <c r="F86" s="22" t="s">
        <v>157</v>
      </c>
      <c r="G86" s="22" t="s">
        <v>25</v>
      </c>
      <c r="H86" s="22" t="s">
        <v>246</v>
      </c>
      <c r="I86" s="22" t="s">
        <v>244</v>
      </c>
      <c r="J86" s="22" t="s">
        <v>28</v>
      </c>
      <c r="K86" s="125">
        <v>185.044645</v>
      </c>
      <c r="L86" s="125">
        <v>2612.760765</v>
      </c>
      <c r="M86" s="125">
        <v>2415.32575</v>
      </c>
      <c r="N86" s="125">
        <v>2245.1072389999999</v>
      </c>
      <c r="O86" s="125">
        <v>1966.3459979999998</v>
      </c>
      <c r="P86" s="125">
        <v>8.99</v>
      </c>
      <c r="Q86" s="126">
        <v>45201</v>
      </c>
      <c r="R86" s="22" t="s">
        <v>245</v>
      </c>
      <c r="S86" s="22" t="s">
        <v>41</v>
      </c>
      <c r="T86" s="22" t="s">
        <v>79</v>
      </c>
      <c r="U86" s="22" t="s">
        <v>80</v>
      </c>
      <c r="V86" s="128">
        <v>23488.719277349999</v>
      </c>
      <c r="W86" s="128">
        <v>21713.778492500001</v>
      </c>
      <c r="X86" s="128">
        <v>20183.514078609998</v>
      </c>
      <c r="Y86" s="127">
        <v>1</v>
      </c>
      <c r="Z86" s="127">
        <v>0.8</v>
      </c>
      <c r="AA86" s="128">
        <v>23488.719277349999</v>
      </c>
      <c r="AB86" s="128">
        <v>17371.022794</v>
      </c>
      <c r="AC86" s="127">
        <v>0.65</v>
      </c>
      <c r="AD86" s="127">
        <v>0.35</v>
      </c>
      <c r="AE86" s="160">
        <v>21347.525508177499</v>
      </c>
      <c r="AF86" s="164">
        <f>_xlfn.IFNA(INDEX('PGM Values'!$D$9:$D$17,MATCH('Raw Forecasting NPS Data'!$C86,'PGM Values'!$B$9:$B$17,0)),0)</f>
        <v>11542</v>
      </c>
      <c r="AG86" s="129">
        <f>_xlfn.IFNA(INDEX('PGM Values'!$C$9:$C$17,MATCH('Raw Forecasting NPS Data'!$C86,'PGM Values'!$B$9:$B$17,0)),0)</f>
        <v>11542</v>
      </c>
      <c r="AH86" s="129">
        <f t="shared" si="7"/>
        <v>246393139.41538471</v>
      </c>
      <c r="AI86" s="165">
        <f t="shared" si="8"/>
        <v>246393139.41538471</v>
      </c>
    </row>
    <row r="87" spans="3:35" x14ac:dyDescent="0.35">
      <c r="C87" s="180" t="str">
        <f>INDEX('Finance to Brand Mapping'!$D$7:$D$100,MATCH('Raw Forecasting NPS Data'!$I87,'Finance to Brand Mapping'!$C$7:$C$100,0))</f>
        <v>Keytruda</v>
      </c>
      <c r="D87" s="138" t="s">
        <v>229</v>
      </c>
      <c r="E87" s="22" t="s">
        <v>247</v>
      </c>
      <c r="F87" s="22" t="s">
        <v>248</v>
      </c>
      <c r="G87" s="22" t="s">
        <v>25</v>
      </c>
      <c r="H87" s="22" t="s">
        <v>249</v>
      </c>
      <c r="I87" s="22" t="s">
        <v>250</v>
      </c>
      <c r="J87" s="22" t="s">
        <v>28</v>
      </c>
      <c r="K87" s="125">
        <v>0</v>
      </c>
      <c r="L87" s="125">
        <v>0</v>
      </c>
      <c r="M87" s="125">
        <v>11.404455</v>
      </c>
      <c r="N87" s="125">
        <v>1811.6339379999999</v>
      </c>
      <c r="O87" s="125">
        <v>2812.8033299999997</v>
      </c>
      <c r="P87" s="125">
        <v>10</v>
      </c>
      <c r="Q87" s="126">
        <v>45993</v>
      </c>
      <c r="R87" s="22"/>
      <c r="S87" s="22">
        <v>25</v>
      </c>
      <c r="T87" s="22" t="s">
        <v>104</v>
      </c>
      <c r="U87" s="22" t="s">
        <v>73</v>
      </c>
      <c r="V87" s="128">
        <v>0</v>
      </c>
      <c r="W87" s="128">
        <v>114.04455</v>
      </c>
      <c r="X87" s="128">
        <v>18116.339379999998</v>
      </c>
      <c r="Y87" s="127">
        <v>1</v>
      </c>
      <c r="Z87" s="127">
        <v>1</v>
      </c>
      <c r="AA87" s="128">
        <v>0</v>
      </c>
      <c r="AB87" s="128">
        <v>114.04455</v>
      </c>
      <c r="AC87" s="127">
        <v>0</v>
      </c>
      <c r="AD87" s="127">
        <v>0.7</v>
      </c>
      <c r="AE87" s="160">
        <v>79.831184999999991</v>
      </c>
      <c r="AF87" s="164">
        <f>_xlfn.IFNA(INDEX('PGM Values'!$D$9:$D$17,MATCH('Raw Forecasting NPS Data'!$C87,'PGM Values'!$B$9:$B$17,0)),0)</f>
        <v>11542</v>
      </c>
      <c r="AG87" s="129">
        <f>_xlfn.IFNA(INDEX('PGM Values'!$C$9:$C$17,MATCH('Raw Forecasting NPS Data'!$C87,'PGM Values'!$B$9:$B$17,0)),0)</f>
        <v>11542</v>
      </c>
      <c r="AH87" s="129">
        <f t="shared" si="7"/>
        <v>921411.53726999986</v>
      </c>
      <c r="AI87" s="165">
        <f t="shared" si="8"/>
        <v>921411.53726999986</v>
      </c>
    </row>
    <row r="88" spans="3:35" x14ac:dyDescent="0.35">
      <c r="C88" s="180" t="str">
        <f>INDEX('Finance to Brand Mapping'!$D$7:$D$100,MATCH('Raw Forecasting NPS Data'!$I88,'Finance to Brand Mapping'!$C$7:$C$100,0))</f>
        <v>New Product</v>
      </c>
      <c r="D88" s="138" t="s">
        <v>229</v>
      </c>
      <c r="E88" s="22" t="s">
        <v>251</v>
      </c>
      <c r="F88" s="22" t="s">
        <v>24</v>
      </c>
      <c r="G88" s="22" t="s">
        <v>231</v>
      </c>
      <c r="H88" s="22" t="s">
        <v>252</v>
      </c>
      <c r="I88" s="22" t="s">
        <v>253</v>
      </c>
      <c r="J88" s="22" t="s">
        <v>28</v>
      </c>
      <c r="K88" s="125">
        <v>0</v>
      </c>
      <c r="L88" s="125">
        <v>0</v>
      </c>
      <c r="M88" s="125">
        <v>0</v>
      </c>
      <c r="N88" s="125">
        <v>467.910392</v>
      </c>
      <c r="O88" s="125">
        <v>851.19545000000005</v>
      </c>
      <c r="P88" s="125">
        <v>9.9942612519999994</v>
      </c>
      <c r="Q88" s="126">
        <v>46052</v>
      </c>
      <c r="R88" s="22" t="s">
        <v>254</v>
      </c>
      <c r="S88" s="22" t="s">
        <v>103</v>
      </c>
      <c r="T88" s="22" t="s">
        <v>104</v>
      </c>
      <c r="U88" s="22" t="s">
        <v>72</v>
      </c>
      <c r="V88" s="128">
        <v>0</v>
      </c>
      <c r="W88" s="128">
        <v>0</v>
      </c>
      <c r="X88" s="128">
        <v>4676.4187001737309</v>
      </c>
      <c r="Y88" s="127" t="s">
        <v>72</v>
      </c>
      <c r="Z88" s="127" t="s">
        <v>72</v>
      </c>
      <c r="AA88" s="128" t="s">
        <v>32</v>
      </c>
      <c r="AB88" s="128" t="s">
        <v>32</v>
      </c>
      <c r="AC88" s="127" t="s">
        <v>72</v>
      </c>
      <c r="AD88" s="127" t="s">
        <v>72</v>
      </c>
      <c r="AE88" s="160">
        <v>0</v>
      </c>
      <c r="AF88" s="164">
        <f>_xlfn.IFNA(INDEX('PGM Values'!$D$9:$D$17,MATCH('Raw Forecasting NPS Data'!$C88,'PGM Values'!$B$9:$B$17,0)),0)</f>
        <v>0</v>
      </c>
      <c r="AG88" s="129">
        <f>_xlfn.IFNA(INDEX('PGM Values'!$C$9:$C$17,MATCH('Raw Forecasting NPS Data'!$C88,'PGM Values'!$B$9:$B$17,0)),0)</f>
        <v>0</v>
      </c>
      <c r="AH88" s="129">
        <f t="shared" si="7"/>
        <v>0</v>
      </c>
      <c r="AI88" s="165">
        <f t="shared" si="8"/>
        <v>0</v>
      </c>
    </row>
    <row r="89" spans="3:35" x14ac:dyDescent="0.35">
      <c r="C89" s="180" t="str">
        <f>INDEX('Finance to Brand Mapping'!$D$7:$D$100,MATCH('Raw Forecasting NPS Data'!$I89,'Finance to Brand Mapping'!$C$7:$C$100,0))</f>
        <v>New Product</v>
      </c>
      <c r="D89" s="138" t="s">
        <v>229</v>
      </c>
      <c r="E89" s="22" t="s">
        <v>251</v>
      </c>
      <c r="F89" s="22" t="s">
        <v>24</v>
      </c>
      <c r="G89" s="22" t="s">
        <v>235</v>
      </c>
      <c r="H89" s="22" t="s">
        <v>252</v>
      </c>
      <c r="I89" s="22" t="s">
        <v>253</v>
      </c>
      <c r="J89" s="22" t="s">
        <v>28</v>
      </c>
      <c r="K89" s="125">
        <v>0</v>
      </c>
      <c r="L89" s="125">
        <v>0</v>
      </c>
      <c r="M89" s="125">
        <v>0</v>
      </c>
      <c r="N89" s="125">
        <v>161.95389999999998</v>
      </c>
      <c r="O89" s="125">
        <v>290.99757599999998</v>
      </c>
      <c r="P89" s="125">
        <v>9.9942612519999994</v>
      </c>
      <c r="Q89" s="126">
        <v>46053</v>
      </c>
      <c r="R89" s="22"/>
      <c r="S89" s="22" t="s">
        <v>103</v>
      </c>
      <c r="T89" s="22" t="s">
        <v>104</v>
      </c>
      <c r="U89" s="22" t="s">
        <v>72</v>
      </c>
      <c r="V89" s="128">
        <v>0</v>
      </c>
      <c r="W89" s="128">
        <v>0</v>
      </c>
      <c r="X89" s="128">
        <v>1618.6095873802824</v>
      </c>
      <c r="Y89" s="127" t="s">
        <v>72</v>
      </c>
      <c r="Z89" s="127" t="s">
        <v>72</v>
      </c>
      <c r="AA89" s="128" t="s">
        <v>32</v>
      </c>
      <c r="AB89" s="128" t="s">
        <v>32</v>
      </c>
      <c r="AC89" s="127" t="s">
        <v>72</v>
      </c>
      <c r="AD89" s="127" t="s">
        <v>72</v>
      </c>
      <c r="AE89" s="160">
        <v>0</v>
      </c>
      <c r="AF89" s="164">
        <f>_xlfn.IFNA(INDEX('PGM Values'!$D$9:$D$17,MATCH('Raw Forecasting NPS Data'!$C89,'PGM Values'!$B$9:$B$17,0)),0)</f>
        <v>0</v>
      </c>
      <c r="AG89" s="129">
        <f>_xlfn.IFNA(INDEX('PGM Values'!$C$9:$C$17,MATCH('Raw Forecasting NPS Data'!$C89,'PGM Values'!$B$9:$B$17,0)),0)</f>
        <v>0</v>
      </c>
      <c r="AH89" s="129">
        <f t="shared" si="7"/>
        <v>0</v>
      </c>
      <c r="AI89" s="165">
        <f t="shared" si="8"/>
        <v>0</v>
      </c>
    </row>
    <row r="90" spans="3:35" x14ac:dyDescent="0.35">
      <c r="C90" s="180" t="str">
        <f>INDEX('Finance to Brand Mapping'!$D$7:$D$100,MATCH('Raw Forecasting NPS Data'!$I90,'Finance to Brand Mapping'!$C$7:$C$100,0))</f>
        <v>New Product</v>
      </c>
      <c r="D90" s="138" t="s">
        <v>229</v>
      </c>
      <c r="E90" s="22" t="s">
        <v>251</v>
      </c>
      <c r="F90" s="22" t="s">
        <v>24</v>
      </c>
      <c r="G90" s="22" t="s">
        <v>236</v>
      </c>
      <c r="H90" s="22" t="s">
        <v>252</v>
      </c>
      <c r="I90" s="22" t="s">
        <v>253</v>
      </c>
      <c r="J90" s="22" t="s">
        <v>28</v>
      </c>
      <c r="K90" s="125">
        <v>0</v>
      </c>
      <c r="L90" s="125">
        <v>0</v>
      </c>
      <c r="M90" s="125">
        <v>0</v>
      </c>
      <c r="N90" s="125">
        <v>324.75879500000002</v>
      </c>
      <c r="O90" s="125">
        <v>517.98138399999993</v>
      </c>
      <c r="P90" s="125">
        <v>9.9942612519999994</v>
      </c>
      <c r="Q90" s="126">
        <v>46054</v>
      </c>
      <c r="R90" s="22"/>
      <c r="S90" s="22" t="s">
        <v>103</v>
      </c>
      <c r="T90" s="22" t="s">
        <v>104</v>
      </c>
      <c r="U90" s="22" t="s">
        <v>72</v>
      </c>
      <c r="V90" s="128">
        <v>0</v>
      </c>
      <c r="W90" s="128">
        <v>0</v>
      </c>
      <c r="X90" s="128">
        <v>3245.7242411147113</v>
      </c>
      <c r="Y90" s="127" t="s">
        <v>72</v>
      </c>
      <c r="Z90" s="127" t="s">
        <v>72</v>
      </c>
      <c r="AA90" s="128" t="s">
        <v>32</v>
      </c>
      <c r="AB90" s="128" t="s">
        <v>32</v>
      </c>
      <c r="AC90" s="127" t="s">
        <v>72</v>
      </c>
      <c r="AD90" s="127" t="s">
        <v>72</v>
      </c>
      <c r="AE90" s="160">
        <v>0</v>
      </c>
      <c r="AF90" s="164">
        <f>_xlfn.IFNA(INDEX('PGM Values'!$D$9:$D$17,MATCH('Raw Forecasting NPS Data'!$C90,'PGM Values'!$B$9:$B$17,0)),0)</f>
        <v>0</v>
      </c>
      <c r="AG90" s="129">
        <f>_xlfn.IFNA(INDEX('PGM Values'!$C$9:$C$17,MATCH('Raw Forecasting NPS Data'!$C90,'PGM Values'!$B$9:$B$17,0)),0)</f>
        <v>0</v>
      </c>
      <c r="AH90" s="129">
        <f t="shared" si="7"/>
        <v>0</v>
      </c>
      <c r="AI90" s="165">
        <f t="shared" si="8"/>
        <v>0</v>
      </c>
    </row>
    <row r="91" spans="3:35" x14ac:dyDescent="0.35">
      <c r="C91" s="180" t="str">
        <f>INDEX('Finance to Brand Mapping'!$D$7:$D$100,MATCH('Raw Forecasting NPS Data'!$I91,'Finance to Brand Mapping'!$C$7:$C$100,0))</f>
        <v>New Product</v>
      </c>
      <c r="D91" s="138" t="s">
        <v>229</v>
      </c>
      <c r="E91" s="22" t="s">
        <v>251</v>
      </c>
      <c r="F91" s="22" t="s">
        <v>24</v>
      </c>
      <c r="G91" s="22" t="s">
        <v>25</v>
      </c>
      <c r="H91" s="22" t="s">
        <v>252</v>
      </c>
      <c r="I91" s="22" t="s">
        <v>253</v>
      </c>
      <c r="J91" s="22" t="s">
        <v>28</v>
      </c>
      <c r="K91" s="125">
        <v>0</v>
      </c>
      <c r="L91" s="125">
        <v>0</v>
      </c>
      <c r="M91" s="125">
        <v>0</v>
      </c>
      <c r="N91" s="125">
        <v>788.67694299999994</v>
      </c>
      <c r="O91" s="125">
        <v>1454.9205640000002</v>
      </c>
      <c r="P91" s="125">
        <v>9.9942612519999994</v>
      </c>
      <c r="Q91" s="126">
        <v>46055</v>
      </c>
      <c r="R91" s="22"/>
      <c r="S91" s="22" t="s">
        <v>103</v>
      </c>
      <c r="T91" s="22" t="s">
        <v>104</v>
      </c>
      <c r="U91" s="22" t="s">
        <v>72</v>
      </c>
      <c r="V91" s="128">
        <v>0</v>
      </c>
      <c r="W91" s="128">
        <v>0</v>
      </c>
      <c r="X91" s="128">
        <v>7882.2434117707116</v>
      </c>
      <c r="Y91" s="127" t="s">
        <v>72</v>
      </c>
      <c r="Z91" s="127" t="s">
        <v>72</v>
      </c>
      <c r="AA91" s="128" t="s">
        <v>32</v>
      </c>
      <c r="AB91" s="128" t="s">
        <v>32</v>
      </c>
      <c r="AC91" s="127" t="s">
        <v>72</v>
      </c>
      <c r="AD91" s="127" t="s">
        <v>72</v>
      </c>
      <c r="AE91" s="160">
        <v>0</v>
      </c>
      <c r="AF91" s="164">
        <f>_xlfn.IFNA(INDEX('PGM Values'!$D$9:$D$17,MATCH('Raw Forecasting NPS Data'!$C91,'PGM Values'!$B$9:$B$17,0)),0)</f>
        <v>0</v>
      </c>
      <c r="AG91" s="129">
        <f>_xlfn.IFNA(INDEX('PGM Values'!$C$9:$C$17,MATCH('Raw Forecasting NPS Data'!$C91,'PGM Values'!$B$9:$B$17,0)),0)</f>
        <v>0</v>
      </c>
      <c r="AH91" s="129">
        <f t="shared" si="7"/>
        <v>0</v>
      </c>
      <c r="AI91" s="165">
        <f t="shared" si="8"/>
        <v>0</v>
      </c>
    </row>
    <row r="92" spans="3:35" x14ac:dyDescent="0.35">
      <c r="C92" s="180" t="str">
        <f>INDEX('Finance to Brand Mapping'!$D$7:$D$100,MATCH('Raw Forecasting NPS Data'!$I92,'Finance to Brand Mapping'!$C$7:$C$100,0))</f>
        <v>New Product</v>
      </c>
      <c r="D92" s="138" t="s">
        <v>229</v>
      </c>
      <c r="E92" s="22" t="s">
        <v>251</v>
      </c>
      <c r="F92" s="22" t="s">
        <v>24</v>
      </c>
      <c r="G92" s="22" t="s">
        <v>231</v>
      </c>
      <c r="H92" s="22" t="s">
        <v>252</v>
      </c>
      <c r="I92" s="22" t="s">
        <v>253</v>
      </c>
      <c r="J92" s="22" t="s">
        <v>28</v>
      </c>
      <c r="K92" s="125">
        <v>0</v>
      </c>
      <c r="L92" s="125">
        <v>0</v>
      </c>
      <c r="M92" s="125">
        <v>0</v>
      </c>
      <c r="N92" s="125">
        <v>352.30422600000003</v>
      </c>
      <c r="O92" s="125">
        <v>547.07247200000006</v>
      </c>
      <c r="P92" s="125">
        <v>9.9942612519999994</v>
      </c>
      <c r="Q92" s="126">
        <v>46056</v>
      </c>
      <c r="R92" s="22"/>
      <c r="S92" s="22" t="s">
        <v>103</v>
      </c>
      <c r="T92" s="22" t="s">
        <v>104</v>
      </c>
      <c r="U92" s="22" t="s">
        <v>72</v>
      </c>
      <c r="V92" s="128">
        <v>0</v>
      </c>
      <c r="W92" s="128">
        <v>0</v>
      </c>
      <c r="X92" s="128">
        <v>3521.020474827651</v>
      </c>
      <c r="Y92" s="127" t="s">
        <v>72</v>
      </c>
      <c r="Z92" s="127" t="s">
        <v>72</v>
      </c>
      <c r="AA92" s="128" t="s">
        <v>32</v>
      </c>
      <c r="AB92" s="128" t="s">
        <v>32</v>
      </c>
      <c r="AC92" s="127" t="s">
        <v>72</v>
      </c>
      <c r="AD92" s="127" t="s">
        <v>72</v>
      </c>
      <c r="AE92" s="160">
        <v>0</v>
      </c>
      <c r="AF92" s="164">
        <f>_xlfn.IFNA(INDEX('PGM Values'!$D$9:$D$17,MATCH('Raw Forecasting NPS Data'!$C92,'PGM Values'!$B$9:$B$17,0)),0)</f>
        <v>0</v>
      </c>
      <c r="AG92" s="129">
        <f>_xlfn.IFNA(INDEX('PGM Values'!$C$9:$C$17,MATCH('Raw Forecasting NPS Data'!$C92,'PGM Values'!$B$9:$B$17,0)),0)</f>
        <v>0</v>
      </c>
      <c r="AH92" s="129">
        <f t="shared" si="7"/>
        <v>0</v>
      </c>
      <c r="AI92" s="165">
        <f t="shared" si="8"/>
        <v>0</v>
      </c>
    </row>
    <row r="93" spans="3:35" x14ac:dyDescent="0.35">
      <c r="C93" s="180" t="str">
        <f>INDEX('Finance to Brand Mapping'!$D$7:$D$100,MATCH('Raw Forecasting NPS Data'!$I93,'Finance to Brand Mapping'!$C$7:$C$100,0))</f>
        <v>New Product</v>
      </c>
      <c r="D93" s="138" t="s">
        <v>229</v>
      </c>
      <c r="E93" s="22" t="s">
        <v>251</v>
      </c>
      <c r="F93" s="22" t="s">
        <v>24</v>
      </c>
      <c r="G93" s="22" t="s">
        <v>235</v>
      </c>
      <c r="H93" s="22" t="s">
        <v>252</v>
      </c>
      <c r="I93" s="22" t="s">
        <v>253</v>
      </c>
      <c r="J93" s="22" t="s">
        <v>28</v>
      </c>
      <c r="K93" s="125">
        <v>0</v>
      </c>
      <c r="L93" s="125">
        <v>0</v>
      </c>
      <c r="M93" s="125">
        <v>0</v>
      </c>
      <c r="N93" s="125">
        <v>99.723916000000003</v>
      </c>
      <c r="O93" s="125">
        <v>154.85539199999999</v>
      </c>
      <c r="P93" s="125">
        <v>9.9942612519999994</v>
      </c>
      <c r="Q93" s="126">
        <v>46057</v>
      </c>
      <c r="R93" s="22"/>
      <c r="S93" s="22" t="s">
        <v>103</v>
      </c>
      <c r="T93" s="22" t="s">
        <v>104</v>
      </c>
      <c r="U93" s="22" t="s">
        <v>72</v>
      </c>
      <c r="V93" s="128">
        <v>0</v>
      </c>
      <c r="W93" s="128">
        <v>0</v>
      </c>
      <c r="X93" s="128">
        <v>996.66686957650279</v>
      </c>
      <c r="Y93" s="127" t="s">
        <v>72</v>
      </c>
      <c r="Z93" s="127" t="s">
        <v>72</v>
      </c>
      <c r="AA93" s="128" t="s">
        <v>32</v>
      </c>
      <c r="AB93" s="128" t="s">
        <v>32</v>
      </c>
      <c r="AC93" s="127" t="s">
        <v>72</v>
      </c>
      <c r="AD93" s="127" t="s">
        <v>72</v>
      </c>
      <c r="AE93" s="160">
        <v>0</v>
      </c>
      <c r="AF93" s="164">
        <f>_xlfn.IFNA(INDEX('PGM Values'!$D$9:$D$17,MATCH('Raw Forecasting NPS Data'!$C93,'PGM Values'!$B$9:$B$17,0)),0)</f>
        <v>0</v>
      </c>
      <c r="AG93" s="129">
        <f>_xlfn.IFNA(INDEX('PGM Values'!$C$9:$C$17,MATCH('Raw Forecasting NPS Data'!$C93,'PGM Values'!$B$9:$B$17,0)),0)</f>
        <v>0</v>
      </c>
      <c r="AH93" s="129">
        <f t="shared" si="7"/>
        <v>0</v>
      </c>
      <c r="AI93" s="165">
        <f t="shared" si="8"/>
        <v>0</v>
      </c>
    </row>
    <row r="94" spans="3:35" x14ac:dyDescent="0.35">
      <c r="C94" s="180" t="str">
        <f>INDEX('Finance to Brand Mapping'!$D$7:$D$100,MATCH('Raw Forecasting NPS Data'!$I94,'Finance to Brand Mapping'!$C$7:$C$100,0))</f>
        <v>New Product</v>
      </c>
      <c r="D94" s="138" t="s">
        <v>229</v>
      </c>
      <c r="E94" s="22" t="s">
        <v>251</v>
      </c>
      <c r="F94" s="22" t="s">
        <v>24</v>
      </c>
      <c r="G94" s="22" t="s">
        <v>236</v>
      </c>
      <c r="H94" s="22" t="s">
        <v>252</v>
      </c>
      <c r="I94" s="22" t="s">
        <v>253</v>
      </c>
      <c r="J94" s="22" t="s">
        <v>28</v>
      </c>
      <c r="K94" s="125">
        <v>0</v>
      </c>
      <c r="L94" s="125">
        <v>0</v>
      </c>
      <c r="M94" s="125">
        <v>0</v>
      </c>
      <c r="N94" s="125">
        <v>323.97015600000003</v>
      </c>
      <c r="O94" s="125">
        <v>503.07416600000005</v>
      </c>
      <c r="P94" s="125">
        <v>9.9942612519999994</v>
      </c>
      <c r="Q94" s="126">
        <v>46058</v>
      </c>
      <c r="R94" s="22"/>
      <c r="S94" s="22" t="s">
        <v>103</v>
      </c>
      <c r="T94" s="22" t="s">
        <v>104</v>
      </c>
      <c r="U94" s="22" t="s">
        <v>72</v>
      </c>
      <c r="V94" s="128">
        <v>0</v>
      </c>
      <c r="W94" s="128">
        <v>0</v>
      </c>
      <c r="X94" s="128">
        <v>3237.8423769151955</v>
      </c>
      <c r="Y94" s="127" t="s">
        <v>72</v>
      </c>
      <c r="Z94" s="127" t="s">
        <v>72</v>
      </c>
      <c r="AA94" s="128" t="s">
        <v>32</v>
      </c>
      <c r="AB94" s="128" t="s">
        <v>32</v>
      </c>
      <c r="AC94" s="127" t="s">
        <v>72</v>
      </c>
      <c r="AD94" s="127" t="s">
        <v>72</v>
      </c>
      <c r="AE94" s="160">
        <v>0</v>
      </c>
      <c r="AF94" s="164">
        <f>_xlfn.IFNA(INDEX('PGM Values'!$D$9:$D$17,MATCH('Raw Forecasting NPS Data'!$C94,'PGM Values'!$B$9:$B$17,0)),0)</f>
        <v>0</v>
      </c>
      <c r="AG94" s="129">
        <f>_xlfn.IFNA(INDEX('PGM Values'!$C$9:$C$17,MATCH('Raw Forecasting NPS Data'!$C94,'PGM Values'!$B$9:$B$17,0)),0)</f>
        <v>0</v>
      </c>
      <c r="AH94" s="129">
        <f t="shared" si="7"/>
        <v>0</v>
      </c>
      <c r="AI94" s="165">
        <f t="shared" si="8"/>
        <v>0</v>
      </c>
    </row>
    <row r="95" spans="3:35" x14ac:dyDescent="0.35">
      <c r="C95" s="180" t="str">
        <f>INDEX('Finance to Brand Mapping'!$D$7:$D$100,MATCH('Raw Forecasting NPS Data'!$I95,'Finance to Brand Mapping'!$C$7:$C$100,0))</f>
        <v>New Product</v>
      </c>
      <c r="D95" s="138" t="s">
        <v>229</v>
      </c>
      <c r="E95" s="22" t="s">
        <v>251</v>
      </c>
      <c r="F95" s="22" t="s">
        <v>24</v>
      </c>
      <c r="G95" s="22" t="s">
        <v>25</v>
      </c>
      <c r="H95" s="22" t="s">
        <v>252</v>
      </c>
      <c r="I95" s="22" t="s">
        <v>253</v>
      </c>
      <c r="J95" s="22" t="s">
        <v>28</v>
      </c>
      <c r="K95" s="125">
        <v>0</v>
      </c>
      <c r="L95" s="125">
        <v>0</v>
      </c>
      <c r="M95" s="125">
        <v>0</v>
      </c>
      <c r="N95" s="125">
        <v>822.96970500000009</v>
      </c>
      <c r="O95" s="125">
        <v>1277.941159</v>
      </c>
      <c r="P95" s="125">
        <v>9.9942612519999994</v>
      </c>
      <c r="Q95" s="126">
        <v>46059</v>
      </c>
      <c r="R95" s="22"/>
      <c r="S95" s="22" t="s">
        <v>103</v>
      </c>
      <c r="T95" s="22" t="s">
        <v>104</v>
      </c>
      <c r="U95" s="22" t="s">
        <v>72</v>
      </c>
      <c r="V95" s="128">
        <v>0</v>
      </c>
      <c r="W95" s="128">
        <v>0</v>
      </c>
      <c r="X95" s="128">
        <v>8224.9742342513709</v>
      </c>
      <c r="Y95" s="127" t="s">
        <v>72</v>
      </c>
      <c r="Z95" s="127" t="s">
        <v>72</v>
      </c>
      <c r="AA95" s="128" t="s">
        <v>32</v>
      </c>
      <c r="AB95" s="128" t="s">
        <v>32</v>
      </c>
      <c r="AC95" s="127" t="s">
        <v>72</v>
      </c>
      <c r="AD95" s="127" t="s">
        <v>72</v>
      </c>
      <c r="AE95" s="160">
        <v>0</v>
      </c>
      <c r="AF95" s="164">
        <f>_xlfn.IFNA(INDEX('PGM Values'!$D$9:$D$17,MATCH('Raw Forecasting NPS Data'!$C95,'PGM Values'!$B$9:$B$17,0)),0)</f>
        <v>0</v>
      </c>
      <c r="AG95" s="129">
        <f>_xlfn.IFNA(INDEX('PGM Values'!$C$9:$C$17,MATCH('Raw Forecasting NPS Data'!$C95,'PGM Values'!$B$9:$B$17,0)),0)</f>
        <v>0</v>
      </c>
      <c r="AH95" s="129">
        <f t="shared" si="7"/>
        <v>0</v>
      </c>
      <c r="AI95" s="165">
        <f t="shared" si="8"/>
        <v>0</v>
      </c>
    </row>
    <row r="96" spans="3:35" x14ac:dyDescent="0.35">
      <c r="C96" s="180" t="str">
        <f>INDEX('Finance to Brand Mapping'!$D$7:$D$100,MATCH('Raw Forecasting NPS Data'!$I96,'Finance to Brand Mapping'!$C$7:$C$100,0))</f>
        <v>New Product</v>
      </c>
      <c r="D96" s="138" t="s">
        <v>229</v>
      </c>
      <c r="E96" s="22" t="s">
        <v>255</v>
      </c>
      <c r="F96" s="22">
        <v>1</v>
      </c>
      <c r="G96" s="22" t="s">
        <v>235</v>
      </c>
      <c r="H96" s="22" t="s">
        <v>256</v>
      </c>
      <c r="I96" s="22" t="s">
        <v>253</v>
      </c>
      <c r="J96" s="22" t="s">
        <v>28</v>
      </c>
      <c r="K96" s="125">
        <v>0</v>
      </c>
      <c r="L96" s="125">
        <v>0</v>
      </c>
      <c r="M96" s="125">
        <v>0</v>
      </c>
      <c r="N96" s="125">
        <v>106.33149800000001</v>
      </c>
      <c r="O96" s="125">
        <v>547.33265999999992</v>
      </c>
      <c r="P96" s="125">
        <v>9.6371944680000006</v>
      </c>
      <c r="Q96" s="126">
        <v>46205</v>
      </c>
      <c r="R96" s="22"/>
      <c r="S96" s="22" t="s">
        <v>103</v>
      </c>
      <c r="T96" s="22" t="s">
        <v>104</v>
      </c>
      <c r="U96" s="22" t="s">
        <v>72</v>
      </c>
      <c r="V96" s="128">
        <v>0</v>
      </c>
      <c r="W96" s="128">
        <v>0</v>
      </c>
      <c r="X96" s="128">
        <v>1024.7373242997533</v>
      </c>
      <c r="Y96" s="127" t="s">
        <v>72</v>
      </c>
      <c r="Z96" s="127" t="s">
        <v>72</v>
      </c>
      <c r="AA96" s="128" t="s">
        <v>32</v>
      </c>
      <c r="AB96" s="128" t="s">
        <v>32</v>
      </c>
      <c r="AC96" s="127" t="s">
        <v>72</v>
      </c>
      <c r="AD96" s="127" t="s">
        <v>72</v>
      </c>
      <c r="AE96" s="160">
        <v>0</v>
      </c>
      <c r="AF96" s="164">
        <f>_xlfn.IFNA(INDEX('PGM Values'!$D$9:$D$17,MATCH('Raw Forecasting NPS Data'!$C96,'PGM Values'!$B$9:$B$17,0)),0)</f>
        <v>0</v>
      </c>
      <c r="AG96" s="129">
        <f>_xlfn.IFNA(INDEX('PGM Values'!$C$9:$C$17,MATCH('Raw Forecasting NPS Data'!$C96,'PGM Values'!$B$9:$B$17,0)),0)</f>
        <v>0</v>
      </c>
      <c r="AH96" s="129">
        <f t="shared" si="7"/>
        <v>0</v>
      </c>
      <c r="AI96" s="165">
        <f t="shared" si="8"/>
        <v>0</v>
      </c>
    </row>
    <row r="97" spans="3:35" x14ac:dyDescent="0.35">
      <c r="C97" s="180" t="str">
        <f>INDEX('Finance to Brand Mapping'!$D$7:$D$100,MATCH('Raw Forecasting NPS Data'!$I97,'Finance to Brand Mapping'!$C$7:$C$100,0))</f>
        <v>New Product</v>
      </c>
      <c r="D97" s="138" t="s">
        <v>229</v>
      </c>
      <c r="E97" s="22" t="s">
        <v>255</v>
      </c>
      <c r="F97" s="22">
        <v>1</v>
      </c>
      <c r="G97" s="22" t="s">
        <v>236</v>
      </c>
      <c r="H97" s="22" t="s">
        <v>256</v>
      </c>
      <c r="I97" s="22" t="s">
        <v>253</v>
      </c>
      <c r="J97" s="22" t="s">
        <v>28</v>
      </c>
      <c r="K97" s="125">
        <v>0</v>
      </c>
      <c r="L97" s="125">
        <v>0</v>
      </c>
      <c r="M97" s="125">
        <v>0</v>
      </c>
      <c r="N97" s="125">
        <v>122.63268500000001</v>
      </c>
      <c r="O97" s="125">
        <v>631.73897799999997</v>
      </c>
      <c r="P97" s="125">
        <v>9.6371944680000006</v>
      </c>
      <c r="Q97" s="126">
        <v>46205</v>
      </c>
      <c r="R97" s="22"/>
      <c r="S97" s="22" t="s">
        <v>103</v>
      </c>
      <c r="T97" s="22" t="s">
        <v>104</v>
      </c>
      <c r="U97" s="22" t="s">
        <v>72</v>
      </c>
      <c r="V97" s="128">
        <v>0</v>
      </c>
      <c r="W97" s="128">
        <v>0</v>
      </c>
      <c r="X97" s="128">
        <v>1181.8350334779868</v>
      </c>
      <c r="Y97" s="127" t="s">
        <v>72</v>
      </c>
      <c r="Z97" s="127" t="s">
        <v>72</v>
      </c>
      <c r="AA97" s="128" t="s">
        <v>32</v>
      </c>
      <c r="AB97" s="128" t="s">
        <v>32</v>
      </c>
      <c r="AC97" s="127" t="s">
        <v>72</v>
      </c>
      <c r="AD97" s="127" t="s">
        <v>72</v>
      </c>
      <c r="AE97" s="160">
        <v>0</v>
      </c>
      <c r="AF97" s="164">
        <f>_xlfn.IFNA(INDEX('PGM Values'!$D$9:$D$17,MATCH('Raw Forecasting NPS Data'!$C97,'PGM Values'!$B$9:$B$17,0)),0)</f>
        <v>0</v>
      </c>
      <c r="AG97" s="129">
        <f>_xlfn.IFNA(INDEX('PGM Values'!$C$9:$C$17,MATCH('Raw Forecasting NPS Data'!$C97,'PGM Values'!$B$9:$B$17,0)),0)</f>
        <v>0</v>
      </c>
      <c r="AH97" s="129">
        <f t="shared" si="7"/>
        <v>0</v>
      </c>
      <c r="AI97" s="165">
        <f t="shared" si="8"/>
        <v>0</v>
      </c>
    </row>
    <row r="98" spans="3:35" x14ac:dyDescent="0.35">
      <c r="C98" s="180" t="str">
        <f>INDEX('Finance to Brand Mapping'!$D$7:$D$100,MATCH('Raw Forecasting NPS Data'!$I98,'Finance to Brand Mapping'!$C$7:$C$100,0))</f>
        <v>New Product</v>
      </c>
      <c r="D98" s="138" t="s">
        <v>229</v>
      </c>
      <c r="E98" s="22" t="s">
        <v>255</v>
      </c>
      <c r="F98" s="22">
        <v>1</v>
      </c>
      <c r="G98" s="22" t="s">
        <v>235</v>
      </c>
      <c r="H98" s="22" t="s">
        <v>256</v>
      </c>
      <c r="I98" s="22" t="s">
        <v>253</v>
      </c>
      <c r="J98" s="22" t="s">
        <v>28</v>
      </c>
      <c r="K98" s="125">
        <v>0</v>
      </c>
      <c r="L98" s="125">
        <v>0</v>
      </c>
      <c r="M98" s="125">
        <v>0</v>
      </c>
      <c r="N98" s="125">
        <v>22.490643000000002</v>
      </c>
      <c r="O98" s="125">
        <v>115.66325300000001</v>
      </c>
      <c r="P98" s="125">
        <v>9.6371944680000006</v>
      </c>
      <c r="Q98" s="126">
        <v>46205</v>
      </c>
      <c r="R98" s="22"/>
      <c r="S98" s="22" t="s">
        <v>103</v>
      </c>
      <c r="T98" s="22" t="s">
        <v>104</v>
      </c>
      <c r="U98" s="22" t="s">
        <v>72</v>
      </c>
      <c r="V98" s="128">
        <v>0</v>
      </c>
      <c r="W98" s="128">
        <v>0</v>
      </c>
      <c r="X98" s="128">
        <v>216.74670030136295</v>
      </c>
      <c r="Y98" s="127" t="s">
        <v>72</v>
      </c>
      <c r="Z98" s="127" t="s">
        <v>72</v>
      </c>
      <c r="AA98" s="128" t="s">
        <v>32</v>
      </c>
      <c r="AB98" s="128" t="s">
        <v>32</v>
      </c>
      <c r="AC98" s="127" t="s">
        <v>72</v>
      </c>
      <c r="AD98" s="127" t="s">
        <v>72</v>
      </c>
      <c r="AE98" s="160">
        <v>0</v>
      </c>
      <c r="AF98" s="164">
        <f>_xlfn.IFNA(INDEX('PGM Values'!$D$9:$D$17,MATCH('Raw Forecasting NPS Data'!$C98,'PGM Values'!$B$9:$B$17,0)),0)</f>
        <v>0</v>
      </c>
      <c r="AG98" s="129">
        <f>_xlfn.IFNA(INDEX('PGM Values'!$C$9:$C$17,MATCH('Raw Forecasting NPS Data'!$C98,'PGM Values'!$B$9:$B$17,0)),0)</f>
        <v>0</v>
      </c>
      <c r="AH98" s="129">
        <f t="shared" si="7"/>
        <v>0</v>
      </c>
      <c r="AI98" s="165">
        <f t="shared" si="8"/>
        <v>0</v>
      </c>
    </row>
    <row r="99" spans="3:35" x14ac:dyDescent="0.35">
      <c r="C99" s="180" t="str">
        <f>INDEX('Finance to Brand Mapping'!$D$7:$D$100,MATCH('Raw Forecasting NPS Data'!$I99,'Finance to Brand Mapping'!$C$7:$C$100,0))</f>
        <v>New Product</v>
      </c>
      <c r="D99" s="138" t="s">
        <v>229</v>
      </c>
      <c r="E99" s="22" t="s">
        <v>255</v>
      </c>
      <c r="F99" s="22">
        <v>1</v>
      </c>
      <c r="G99" s="22" t="s">
        <v>236</v>
      </c>
      <c r="H99" s="22" t="s">
        <v>256</v>
      </c>
      <c r="I99" s="22" t="s">
        <v>253</v>
      </c>
      <c r="J99" s="22" t="s">
        <v>28</v>
      </c>
      <c r="K99" s="125">
        <v>0</v>
      </c>
      <c r="L99" s="125">
        <v>0</v>
      </c>
      <c r="M99" s="125">
        <v>0</v>
      </c>
      <c r="N99" s="125">
        <v>52.259554999999999</v>
      </c>
      <c r="O99" s="125">
        <v>269.21369399999998</v>
      </c>
      <c r="P99" s="125">
        <v>9.6371944680000006</v>
      </c>
      <c r="Q99" s="126">
        <v>46205</v>
      </c>
      <c r="R99" s="22"/>
      <c r="S99" s="22" t="s">
        <v>103</v>
      </c>
      <c r="T99" s="22" t="s">
        <v>104</v>
      </c>
      <c r="U99" s="22" t="s">
        <v>72</v>
      </c>
      <c r="V99" s="128">
        <v>0</v>
      </c>
      <c r="W99" s="128">
        <v>0</v>
      </c>
      <c r="X99" s="128">
        <v>503.63549434614174</v>
      </c>
      <c r="Y99" s="127" t="s">
        <v>72</v>
      </c>
      <c r="Z99" s="127" t="s">
        <v>72</v>
      </c>
      <c r="AA99" s="128" t="s">
        <v>32</v>
      </c>
      <c r="AB99" s="128" t="s">
        <v>32</v>
      </c>
      <c r="AC99" s="127" t="s">
        <v>72</v>
      </c>
      <c r="AD99" s="127" t="s">
        <v>72</v>
      </c>
      <c r="AE99" s="160">
        <v>0</v>
      </c>
      <c r="AF99" s="164">
        <f>_xlfn.IFNA(INDEX('PGM Values'!$D$9:$D$17,MATCH('Raw Forecasting NPS Data'!$C99,'PGM Values'!$B$9:$B$17,0)),0)</f>
        <v>0</v>
      </c>
      <c r="AG99" s="129">
        <f>_xlfn.IFNA(INDEX('PGM Values'!$C$9:$C$17,MATCH('Raw Forecasting NPS Data'!$C99,'PGM Values'!$B$9:$B$17,0)),0)</f>
        <v>0</v>
      </c>
      <c r="AH99" s="129">
        <f t="shared" si="7"/>
        <v>0</v>
      </c>
      <c r="AI99" s="165">
        <f t="shared" si="8"/>
        <v>0</v>
      </c>
    </row>
    <row r="100" spans="3:35" x14ac:dyDescent="0.35">
      <c r="C100" s="180" t="str">
        <f>INDEX('Finance to Brand Mapping'!$D$7:$D$100,MATCH('Raw Forecasting NPS Data'!$I100,'Finance to Brand Mapping'!$C$7:$C$100,0))</f>
        <v>Keytruda</v>
      </c>
      <c r="D100" s="138" t="s">
        <v>229</v>
      </c>
      <c r="E100" s="22" t="s">
        <v>75</v>
      </c>
      <c r="F100" s="22" t="s">
        <v>24</v>
      </c>
      <c r="G100" s="22" t="s">
        <v>231</v>
      </c>
      <c r="H100" s="22" t="s">
        <v>257</v>
      </c>
      <c r="I100" s="22" t="s">
        <v>258</v>
      </c>
      <c r="J100" s="22" t="s">
        <v>28</v>
      </c>
      <c r="K100" s="125">
        <v>4260.2674160000006</v>
      </c>
      <c r="L100" s="125">
        <v>3828.2536179999997</v>
      </c>
      <c r="M100" s="125">
        <v>2323.3425419999999</v>
      </c>
      <c r="N100" s="125">
        <v>1241.4281230000001</v>
      </c>
      <c r="O100" s="125">
        <v>928.83330000000001</v>
      </c>
      <c r="P100" s="125">
        <v>7.83049999999999</v>
      </c>
      <c r="Q100" s="126">
        <v>43101</v>
      </c>
      <c r="R100" s="22" t="s">
        <v>259</v>
      </c>
      <c r="S100" s="22" t="s">
        <v>41</v>
      </c>
      <c r="T100" s="22" t="s">
        <v>57</v>
      </c>
      <c r="U100" s="22" t="s">
        <v>47</v>
      </c>
      <c r="V100" s="128">
        <v>29977.13995574896</v>
      </c>
      <c r="W100" s="128">
        <v>18192.933775130976</v>
      </c>
      <c r="X100" s="128">
        <v>9721.0029171514889</v>
      </c>
      <c r="Y100" s="127">
        <v>0.3</v>
      </c>
      <c r="Z100" s="127">
        <v>0.3</v>
      </c>
      <c r="AA100" s="128">
        <v>8993.1419867246877</v>
      </c>
      <c r="AB100" s="128">
        <v>5457.8801325392924</v>
      </c>
      <c r="AC100" s="127">
        <v>0.65</v>
      </c>
      <c r="AD100" s="127">
        <v>0.35</v>
      </c>
      <c r="AE100" s="160">
        <v>7755.8003377597997</v>
      </c>
      <c r="AF100" s="164">
        <f>_xlfn.IFNA(INDEX('PGM Values'!$D$9:$D$17,MATCH('Raw Forecasting NPS Data'!$C100,'PGM Values'!$B$9:$B$17,0)),0)</f>
        <v>11542</v>
      </c>
      <c r="AG100" s="129">
        <f>_xlfn.IFNA(INDEX('PGM Values'!$C$9:$C$17,MATCH('Raw Forecasting NPS Data'!$C100,'PGM Values'!$B$9:$B$17,0)),0)</f>
        <v>11542</v>
      </c>
      <c r="AH100" s="129">
        <f t="shared" si="7"/>
        <v>89517447.498423606</v>
      </c>
      <c r="AI100" s="165">
        <f t="shared" si="8"/>
        <v>89517447.498423606</v>
      </c>
    </row>
    <row r="101" spans="3:35" x14ac:dyDescent="0.35">
      <c r="C101" s="180" t="str">
        <f>INDEX('Finance to Brand Mapping'!$D$7:$D$100,MATCH('Raw Forecasting NPS Data'!$I101,'Finance to Brand Mapping'!$C$7:$C$100,0))</f>
        <v>Keytruda</v>
      </c>
      <c r="D101" s="138" t="s">
        <v>229</v>
      </c>
      <c r="E101" s="22" t="s">
        <v>75</v>
      </c>
      <c r="F101" s="22" t="s">
        <v>24</v>
      </c>
      <c r="G101" s="22" t="s">
        <v>235</v>
      </c>
      <c r="H101" s="22" t="s">
        <v>257</v>
      </c>
      <c r="I101" s="22" t="s">
        <v>258</v>
      </c>
      <c r="J101" s="22" t="s">
        <v>28</v>
      </c>
      <c r="K101" s="125">
        <v>2600.5163789999997</v>
      </c>
      <c r="L101" s="125">
        <v>2111.934107</v>
      </c>
      <c r="M101" s="125">
        <v>930.44176999999991</v>
      </c>
      <c r="N101" s="125">
        <v>397.12478299999998</v>
      </c>
      <c r="O101" s="125">
        <v>213.699545</v>
      </c>
      <c r="P101" s="125">
        <v>8.7082999999999995</v>
      </c>
      <c r="Q101" s="126">
        <v>43101</v>
      </c>
      <c r="R101" s="22" t="s">
        <v>259</v>
      </c>
      <c r="S101" s="22" t="s">
        <v>41</v>
      </c>
      <c r="T101" s="22" t="s">
        <v>57</v>
      </c>
      <c r="U101" s="22" t="s">
        <v>47</v>
      </c>
      <c r="V101" s="128">
        <v>18391.3557839881</v>
      </c>
      <c r="W101" s="128">
        <v>8102.5660656909986</v>
      </c>
      <c r="X101" s="128">
        <v>3458.2817477988997</v>
      </c>
      <c r="Y101" s="127">
        <v>0.3</v>
      </c>
      <c r="Z101" s="127">
        <v>0.3</v>
      </c>
      <c r="AA101" s="128">
        <v>5517.4067351964295</v>
      </c>
      <c r="AB101" s="128">
        <v>2430.7698197072996</v>
      </c>
      <c r="AC101" s="127">
        <v>0.65</v>
      </c>
      <c r="AD101" s="127">
        <v>0.35</v>
      </c>
      <c r="AE101" s="160">
        <v>4437.0838147752338</v>
      </c>
      <c r="AF101" s="164">
        <f>_xlfn.IFNA(INDEX('PGM Values'!$D$9:$D$17,MATCH('Raw Forecasting NPS Data'!$C101,'PGM Values'!$B$9:$B$17,0)),0)</f>
        <v>11542</v>
      </c>
      <c r="AG101" s="129">
        <f>_xlfn.IFNA(INDEX('PGM Values'!$C$9:$C$17,MATCH('Raw Forecasting NPS Data'!$C101,'PGM Values'!$B$9:$B$17,0)),0)</f>
        <v>11542</v>
      </c>
      <c r="AH101" s="129">
        <f t="shared" si="7"/>
        <v>51212821.39013575</v>
      </c>
      <c r="AI101" s="165">
        <f t="shared" si="8"/>
        <v>51212821.39013575</v>
      </c>
    </row>
    <row r="102" spans="3:35" x14ac:dyDescent="0.35">
      <c r="C102" s="180" t="str">
        <f>INDEX('Finance to Brand Mapping'!$D$7:$D$100,MATCH('Raw Forecasting NPS Data'!$I102,'Finance to Brand Mapping'!$C$7:$C$100,0))</f>
        <v>Keytruda</v>
      </c>
      <c r="D102" s="138" t="s">
        <v>229</v>
      </c>
      <c r="E102" s="22" t="s">
        <v>75</v>
      </c>
      <c r="F102" s="22" t="s">
        <v>24</v>
      </c>
      <c r="G102" s="22" t="s">
        <v>236</v>
      </c>
      <c r="H102" s="22" t="s">
        <v>257</v>
      </c>
      <c r="I102" s="22" t="s">
        <v>258</v>
      </c>
      <c r="J102" s="22" t="s">
        <v>28</v>
      </c>
      <c r="K102" s="125">
        <v>4406.2438870000005</v>
      </c>
      <c r="L102" s="125">
        <v>4120.6326469999995</v>
      </c>
      <c r="M102" s="125">
        <v>2490.8009429999997</v>
      </c>
      <c r="N102" s="125">
        <v>1339.3569870000001</v>
      </c>
      <c r="O102" s="125">
        <v>1014.470731</v>
      </c>
      <c r="P102" s="125">
        <v>8.0481999999999996</v>
      </c>
      <c r="Q102" s="126">
        <v>43101</v>
      </c>
      <c r="R102" s="22" t="s">
        <v>259</v>
      </c>
      <c r="S102" s="22" t="s">
        <v>41</v>
      </c>
      <c r="T102" s="22" t="s">
        <v>57</v>
      </c>
      <c r="U102" s="22" t="s">
        <v>47</v>
      </c>
      <c r="V102" s="128">
        <v>33163.675669585391</v>
      </c>
      <c r="W102" s="128">
        <v>20046.464149452597</v>
      </c>
      <c r="X102" s="128">
        <v>10779.4129027734</v>
      </c>
      <c r="Y102" s="127">
        <v>0.3</v>
      </c>
      <c r="Z102" s="127">
        <v>0.3</v>
      </c>
      <c r="AA102" s="128">
        <v>9949.1027008756173</v>
      </c>
      <c r="AB102" s="128">
        <v>6013.9392448357785</v>
      </c>
      <c r="AC102" s="127">
        <v>0.65</v>
      </c>
      <c r="AD102" s="127">
        <v>0.35</v>
      </c>
      <c r="AE102" s="160">
        <v>8571.7954912616733</v>
      </c>
      <c r="AF102" s="164">
        <f>_xlfn.IFNA(INDEX('PGM Values'!$D$9:$D$17,MATCH('Raw Forecasting NPS Data'!$C102,'PGM Values'!$B$9:$B$17,0)),0)</f>
        <v>11542</v>
      </c>
      <c r="AG102" s="129">
        <f>_xlfn.IFNA(INDEX('PGM Values'!$C$9:$C$17,MATCH('Raw Forecasting NPS Data'!$C102,'PGM Values'!$B$9:$B$17,0)),0)</f>
        <v>11542</v>
      </c>
      <c r="AH102" s="129">
        <f t="shared" si="7"/>
        <v>98935663.560142234</v>
      </c>
      <c r="AI102" s="165">
        <f t="shared" si="8"/>
        <v>98935663.560142234</v>
      </c>
    </row>
    <row r="103" spans="3:35" x14ac:dyDescent="0.35">
      <c r="C103" s="180" t="str">
        <f>INDEX('Finance to Brand Mapping'!$D$7:$D$100,MATCH('Raw Forecasting NPS Data'!$I103,'Finance to Brand Mapping'!$C$7:$C$100,0))</f>
        <v>Keytruda</v>
      </c>
      <c r="D103" s="138" t="s">
        <v>229</v>
      </c>
      <c r="E103" s="22" t="s">
        <v>75</v>
      </c>
      <c r="F103" s="22" t="s">
        <v>24</v>
      </c>
      <c r="G103" s="22" t="s">
        <v>25</v>
      </c>
      <c r="H103" s="22" t="s">
        <v>257</v>
      </c>
      <c r="I103" s="22" t="s">
        <v>258</v>
      </c>
      <c r="J103" s="22" t="s">
        <v>28</v>
      </c>
      <c r="K103" s="125">
        <v>5980.9555280000004</v>
      </c>
      <c r="L103" s="125">
        <v>5403.2420700000002</v>
      </c>
      <c r="M103" s="125">
        <v>3279.3819659999999</v>
      </c>
      <c r="N103" s="125">
        <v>1766.7731979999999</v>
      </c>
      <c r="O103" s="125">
        <v>1248.4546839999998</v>
      </c>
      <c r="P103" s="125">
        <v>7.8331999999999899</v>
      </c>
      <c r="Q103" s="126">
        <v>43101</v>
      </c>
      <c r="R103" s="22" t="s">
        <v>259</v>
      </c>
      <c r="S103" s="22" t="s">
        <v>41</v>
      </c>
      <c r="T103" s="22" t="s">
        <v>57</v>
      </c>
      <c r="U103" s="22" t="s">
        <v>47</v>
      </c>
      <c r="V103" s="128">
        <v>42324.675782723949</v>
      </c>
      <c r="W103" s="128">
        <v>25688.054816071166</v>
      </c>
      <c r="X103" s="128">
        <v>13839.487814573582</v>
      </c>
      <c r="Y103" s="127">
        <v>0.3</v>
      </c>
      <c r="Z103" s="127">
        <v>0.3</v>
      </c>
      <c r="AA103" s="128">
        <v>12697.402734817184</v>
      </c>
      <c r="AB103" s="128">
        <v>7706.4164448213496</v>
      </c>
      <c r="AC103" s="127">
        <v>0.65</v>
      </c>
      <c r="AD103" s="127">
        <v>0.35</v>
      </c>
      <c r="AE103" s="160">
        <v>10950.557533318643</v>
      </c>
      <c r="AF103" s="164">
        <f>_xlfn.IFNA(INDEX('PGM Values'!$D$9:$D$17,MATCH('Raw Forecasting NPS Data'!$C103,'PGM Values'!$B$9:$B$17,0)),0)</f>
        <v>11542</v>
      </c>
      <c r="AG103" s="129">
        <f>_xlfn.IFNA(INDEX('PGM Values'!$C$9:$C$17,MATCH('Raw Forecasting NPS Data'!$C103,'PGM Values'!$B$9:$B$17,0)),0)</f>
        <v>11542</v>
      </c>
      <c r="AH103" s="129">
        <f t="shared" si="7"/>
        <v>126391335.04956377</v>
      </c>
      <c r="AI103" s="165">
        <f t="shared" si="8"/>
        <v>126391335.04956377</v>
      </c>
    </row>
    <row r="104" spans="3:35" x14ac:dyDescent="0.35">
      <c r="C104" s="180" t="str">
        <f>INDEX('Finance to Brand Mapping'!$D$7:$D$100,MATCH('Raw Forecasting NPS Data'!$I104,'Finance to Brand Mapping'!$C$7:$C$100,0))</f>
        <v>Keytruda</v>
      </c>
      <c r="D104" s="138" t="s">
        <v>229</v>
      </c>
      <c r="E104" s="22" t="s">
        <v>75</v>
      </c>
      <c r="F104" s="22" t="s">
        <v>24</v>
      </c>
      <c r="G104" s="22" t="s">
        <v>231</v>
      </c>
      <c r="H104" s="22" t="s">
        <v>257</v>
      </c>
      <c r="I104" s="22" t="s">
        <v>258</v>
      </c>
      <c r="J104" s="22" t="s">
        <v>28</v>
      </c>
      <c r="K104" s="125">
        <v>1378.310434</v>
      </c>
      <c r="L104" s="125">
        <v>1292.5897500000001</v>
      </c>
      <c r="M104" s="125">
        <v>1005.645941</v>
      </c>
      <c r="N104" s="125">
        <v>705.07512299999996</v>
      </c>
      <c r="O104" s="125">
        <v>605.06571600000007</v>
      </c>
      <c r="P104" s="125">
        <v>7.83049999999999</v>
      </c>
      <c r="Q104" s="126">
        <v>43101</v>
      </c>
      <c r="R104" s="22" t="s">
        <v>259</v>
      </c>
      <c r="S104" s="22" t="s">
        <v>41</v>
      </c>
      <c r="T104" s="22" t="s">
        <v>57</v>
      </c>
      <c r="U104" s="22" t="s">
        <v>47</v>
      </c>
      <c r="V104" s="128">
        <v>10121.624037374988</v>
      </c>
      <c r="W104" s="128">
        <v>7874.7105410004897</v>
      </c>
      <c r="X104" s="128">
        <v>5521.0907506514923</v>
      </c>
      <c r="Y104" s="127">
        <v>0.3</v>
      </c>
      <c r="Z104" s="127">
        <v>0.3</v>
      </c>
      <c r="AA104" s="128">
        <v>3036.4872112124963</v>
      </c>
      <c r="AB104" s="128">
        <v>2362.4131623001467</v>
      </c>
      <c r="AC104" s="127">
        <v>0.65</v>
      </c>
      <c r="AD104" s="127">
        <v>0.35</v>
      </c>
      <c r="AE104" s="160">
        <v>2800.5612940931737</v>
      </c>
      <c r="AF104" s="164">
        <f>_xlfn.IFNA(INDEX('PGM Values'!$D$9:$D$17,MATCH('Raw Forecasting NPS Data'!$C104,'PGM Values'!$B$9:$B$17,0)),0)</f>
        <v>11542</v>
      </c>
      <c r="AG104" s="129">
        <f>_xlfn.IFNA(INDEX('PGM Values'!$C$9:$C$17,MATCH('Raw Forecasting NPS Data'!$C104,'PGM Values'!$B$9:$B$17,0)),0)</f>
        <v>11542</v>
      </c>
      <c r="AH104" s="129">
        <f t="shared" si="7"/>
        <v>32324078.456423413</v>
      </c>
      <c r="AI104" s="165">
        <f t="shared" si="8"/>
        <v>32324078.456423413</v>
      </c>
    </row>
    <row r="105" spans="3:35" x14ac:dyDescent="0.35">
      <c r="C105" s="180" t="str">
        <f>INDEX('Finance to Brand Mapping'!$D$7:$D$100,MATCH('Raw Forecasting NPS Data'!$I105,'Finance to Brand Mapping'!$C$7:$C$100,0))</f>
        <v>Keytruda</v>
      </c>
      <c r="D105" s="138" t="s">
        <v>229</v>
      </c>
      <c r="E105" s="22" t="s">
        <v>75</v>
      </c>
      <c r="F105" s="22" t="s">
        <v>24</v>
      </c>
      <c r="G105" s="22" t="s">
        <v>235</v>
      </c>
      <c r="H105" s="22" t="s">
        <v>257</v>
      </c>
      <c r="I105" s="22" t="s">
        <v>258</v>
      </c>
      <c r="J105" s="22" t="s">
        <v>28</v>
      </c>
      <c r="K105" s="125">
        <v>558.58945000000006</v>
      </c>
      <c r="L105" s="125">
        <v>542.01591599999995</v>
      </c>
      <c r="M105" s="125">
        <v>444.12837699999994</v>
      </c>
      <c r="N105" s="125">
        <v>286.07819599999999</v>
      </c>
      <c r="O105" s="125">
        <v>223.85530400000005</v>
      </c>
      <c r="P105" s="125">
        <v>8.7082999999999995</v>
      </c>
      <c r="Q105" s="126">
        <v>43191</v>
      </c>
      <c r="R105" s="22" t="s">
        <v>259</v>
      </c>
      <c r="S105" s="22" t="s">
        <v>41</v>
      </c>
      <c r="T105" s="22" t="s">
        <v>47</v>
      </c>
      <c r="U105" s="22" t="s">
        <v>47</v>
      </c>
      <c r="V105" s="128">
        <v>4720.0372013027991</v>
      </c>
      <c r="W105" s="128">
        <v>3867.6031454290992</v>
      </c>
      <c r="X105" s="128">
        <v>2491.2547542267998</v>
      </c>
      <c r="Y105" s="127">
        <v>0.3</v>
      </c>
      <c r="Z105" s="127">
        <v>0.3</v>
      </c>
      <c r="AA105" s="128">
        <v>1416.0111603908397</v>
      </c>
      <c r="AB105" s="128">
        <v>1160.2809436287298</v>
      </c>
      <c r="AC105" s="127">
        <v>0.65</v>
      </c>
      <c r="AD105" s="127">
        <v>0.35</v>
      </c>
      <c r="AE105" s="160">
        <v>1326.5055845241013</v>
      </c>
      <c r="AF105" s="164">
        <f>_xlfn.IFNA(INDEX('PGM Values'!$D$9:$D$17,MATCH('Raw Forecasting NPS Data'!$C105,'PGM Values'!$B$9:$B$17,0)),0)</f>
        <v>11542</v>
      </c>
      <c r="AG105" s="129">
        <f>_xlfn.IFNA(INDEX('PGM Values'!$C$9:$C$17,MATCH('Raw Forecasting NPS Data'!$C105,'PGM Values'!$B$9:$B$17,0)),0)</f>
        <v>11542</v>
      </c>
      <c r="AH105" s="129">
        <f t="shared" si="7"/>
        <v>15310527.456577178</v>
      </c>
      <c r="AI105" s="165">
        <f t="shared" si="8"/>
        <v>15310527.456577178</v>
      </c>
    </row>
    <row r="106" spans="3:35" x14ac:dyDescent="0.35">
      <c r="C106" s="180" t="str">
        <f>INDEX('Finance to Brand Mapping'!$D$7:$D$100,MATCH('Raw Forecasting NPS Data'!$I106,'Finance to Brand Mapping'!$C$7:$C$100,0))</f>
        <v>Keytruda</v>
      </c>
      <c r="D106" s="138" t="s">
        <v>229</v>
      </c>
      <c r="E106" s="22" t="s">
        <v>75</v>
      </c>
      <c r="F106" s="22" t="s">
        <v>24</v>
      </c>
      <c r="G106" s="22" t="s">
        <v>236</v>
      </c>
      <c r="H106" s="22" t="s">
        <v>257</v>
      </c>
      <c r="I106" s="22" t="s">
        <v>258</v>
      </c>
      <c r="J106" s="22" t="s">
        <v>28</v>
      </c>
      <c r="K106" s="125">
        <v>1513.260884</v>
      </c>
      <c r="L106" s="125">
        <v>1422.8972359999998</v>
      </c>
      <c r="M106" s="125">
        <v>1107.0605519999999</v>
      </c>
      <c r="N106" s="125">
        <v>643.55705299999988</v>
      </c>
      <c r="O106" s="125">
        <v>441.202991</v>
      </c>
      <c r="P106" s="125">
        <v>8.0481999999999996</v>
      </c>
      <c r="Q106" s="126">
        <v>43101</v>
      </c>
      <c r="R106" s="22" t="s">
        <v>259</v>
      </c>
      <c r="S106" s="22" t="s">
        <v>41</v>
      </c>
      <c r="T106" s="22" t="s">
        <v>57</v>
      </c>
      <c r="U106" s="22" t="s">
        <v>47</v>
      </c>
      <c r="V106" s="128">
        <v>11451.761534775198</v>
      </c>
      <c r="W106" s="128">
        <v>8909.8447346063986</v>
      </c>
      <c r="X106" s="128">
        <v>5179.4758739545987</v>
      </c>
      <c r="Y106" s="127">
        <v>0.3</v>
      </c>
      <c r="Z106" s="127">
        <v>0.3</v>
      </c>
      <c r="AA106" s="128">
        <v>3435.5284604325593</v>
      </c>
      <c r="AB106" s="128">
        <v>2672.9534203819194</v>
      </c>
      <c r="AC106" s="127">
        <v>0.65</v>
      </c>
      <c r="AD106" s="127">
        <v>0.35</v>
      </c>
      <c r="AE106" s="160">
        <v>3168.6271964148355</v>
      </c>
      <c r="AF106" s="164">
        <f>_xlfn.IFNA(INDEX('PGM Values'!$D$9:$D$17,MATCH('Raw Forecasting NPS Data'!$C106,'PGM Values'!$B$9:$B$17,0)),0)</f>
        <v>11542</v>
      </c>
      <c r="AG106" s="129">
        <f>_xlfn.IFNA(INDEX('PGM Values'!$C$9:$C$17,MATCH('Raw Forecasting NPS Data'!$C106,'PGM Values'!$B$9:$B$17,0)),0)</f>
        <v>11542</v>
      </c>
      <c r="AH106" s="129">
        <f t="shared" si="7"/>
        <v>36572295.101020031</v>
      </c>
      <c r="AI106" s="165">
        <f t="shared" si="8"/>
        <v>36572295.101020031</v>
      </c>
    </row>
    <row r="107" spans="3:35" x14ac:dyDescent="0.35">
      <c r="C107" s="180" t="str">
        <f>INDEX('Finance to Brand Mapping'!$D$7:$D$100,MATCH('Raw Forecasting NPS Data'!$I107,'Finance to Brand Mapping'!$C$7:$C$100,0))</f>
        <v>Keytruda</v>
      </c>
      <c r="D107" s="138" t="s">
        <v>229</v>
      </c>
      <c r="E107" s="22" t="s">
        <v>75</v>
      </c>
      <c r="F107" s="22" t="s">
        <v>24</v>
      </c>
      <c r="G107" s="22" t="s">
        <v>25</v>
      </c>
      <c r="H107" s="22" t="s">
        <v>257</v>
      </c>
      <c r="I107" s="22" t="s">
        <v>258</v>
      </c>
      <c r="J107" s="22" t="s">
        <v>28</v>
      </c>
      <c r="K107" s="125">
        <v>2597.0645310000004</v>
      </c>
      <c r="L107" s="125">
        <v>2435.5463849999996</v>
      </c>
      <c r="M107" s="125">
        <v>1894.8760339999999</v>
      </c>
      <c r="N107" s="125">
        <v>1145.6633099999999</v>
      </c>
      <c r="O107" s="125">
        <v>850.12437899999986</v>
      </c>
      <c r="P107" s="125">
        <v>7.8331999999999899</v>
      </c>
      <c r="Q107" s="126">
        <v>43160</v>
      </c>
      <c r="R107" s="22" t="s">
        <v>259</v>
      </c>
      <c r="S107" s="22" t="s">
        <v>41</v>
      </c>
      <c r="T107" s="22" t="s">
        <v>47</v>
      </c>
      <c r="U107" s="22" t="s">
        <v>47</v>
      </c>
      <c r="V107" s="128">
        <v>19078.121942981972</v>
      </c>
      <c r="W107" s="128">
        <v>14842.94294952878</v>
      </c>
      <c r="X107" s="128">
        <v>8974.2098398919879</v>
      </c>
      <c r="Y107" s="127">
        <v>0.3</v>
      </c>
      <c r="Z107" s="127">
        <v>0.3</v>
      </c>
      <c r="AA107" s="128">
        <v>5723.4365828945911</v>
      </c>
      <c r="AB107" s="128">
        <v>4452.8828848586336</v>
      </c>
      <c r="AC107" s="127">
        <v>0.65</v>
      </c>
      <c r="AD107" s="127">
        <v>0.35</v>
      </c>
      <c r="AE107" s="160">
        <v>5278.7427885820061</v>
      </c>
      <c r="AF107" s="164">
        <f>_xlfn.IFNA(INDEX('PGM Values'!$D$9:$D$17,MATCH('Raw Forecasting NPS Data'!$C107,'PGM Values'!$B$9:$B$17,0)),0)</f>
        <v>11542</v>
      </c>
      <c r="AG107" s="129">
        <f>_xlfn.IFNA(INDEX('PGM Values'!$C$9:$C$17,MATCH('Raw Forecasting NPS Data'!$C107,'PGM Values'!$B$9:$B$17,0)),0)</f>
        <v>11542</v>
      </c>
      <c r="AH107" s="129">
        <f t="shared" si="7"/>
        <v>60927249.265813515</v>
      </c>
      <c r="AI107" s="165">
        <f t="shared" si="8"/>
        <v>60927249.265813515</v>
      </c>
    </row>
    <row r="108" spans="3:35" x14ac:dyDescent="0.35">
      <c r="C108" s="180" t="str">
        <f>INDEX('Finance to Brand Mapping'!$D$7:$D$100,MATCH('Raw Forecasting NPS Data'!$I108,'Finance to Brand Mapping'!$C$7:$C$100,0))</f>
        <v>Keytruda-Lenvima</v>
      </c>
      <c r="D108" s="138" t="s">
        <v>229</v>
      </c>
      <c r="E108" s="22" t="s">
        <v>84</v>
      </c>
      <c r="F108" s="22" t="s">
        <v>24</v>
      </c>
      <c r="G108" s="22" t="s">
        <v>231</v>
      </c>
      <c r="H108" s="22" t="s">
        <v>260</v>
      </c>
      <c r="I108" s="22" t="s">
        <v>261</v>
      </c>
      <c r="J108" s="22" t="s">
        <v>28</v>
      </c>
      <c r="K108" s="125">
        <v>0</v>
      </c>
      <c r="L108" s="125">
        <v>190.70928000000001</v>
      </c>
      <c r="M108" s="125">
        <v>1180.1691170000001</v>
      </c>
      <c r="N108" s="125">
        <v>873.83901800000001</v>
      </c>
      <c r="O108" s="125">
        <v>654.39101500000004</v>
      </c>
      <c r="P108" s="125">
        <v>7.83049999999999</v>
      </c>
      <c r="Q108" s="126">
        <v>45475</v>
      </c>
      <c r="R108" s="22" t="s">
        <v>262</v>
      </c>
      <c r="S108" s="22">
        <v>24</v>
      </c>
      <c r="T108" s="22" t="s">
        <v>30</v>
      </c>
      <c r="U108" s="22" t="s">
        <v>31</v>
      </c>
      <c r="V108" s="128">
        <v>1493.3490170399982</v>
      </c>
      <c r="W108" s="128">
        <v>9241.3142706684885</v>
      </c>
      <c r="X108" s="128">
        <v>6842.5964304489917</v>
      </c>
      <c r="Y108" s="127">
        <v>1</v>
      </c>
      <c r="Z108" s="127">
        <v>1</v>
      </c>
      <c r="AA108" s="128">
        <v>1493.3490170399982</v>
      </c>
      <c r="AB108" s="128">
        <v>9241.3142706684885</v>
      </c>
      <c r="AC108" s="127">
        <v>0.3</v>
      </c>
      <c r="AD108" s="127">
        <v>0.7</v>
      </c>
      <c r="AE108" s="160">
        <v>6916.9246945799405</v>
      </c>
      <c r="AF108" s="164">
        <f>_xlfn.IFNA(INDEX('PGM Values'!$D$9:$D$17,MATCH('Raw Forecasting NPS Data'!$C108,'PGM Values'!$B$9:$B$17,0)),0)</f>
        <v>26793</v>
      </c>
      <c r="AG108" s="129">
        <f>_xlfn.IFNA(INDEX('PGM Values'!$C$9:$C$17,MATCH('Raw Forecasting NPS Data'!$C108,'PGM Values'!$B$9:$B$17,0)),0)</f>
        <v>19167.5</v>
      </c>
      <c r="AH108" s="129">
        <f t="shared" si="7"/>
        <v>185325163.34188035</v>
      </c>
      <c r="AI108" s="165">
        <f t="shared" si="8"/>
        <v>132580154.08336101</v>
      </c>
    </row>
    <row r="109" spans="3:35" x14ac:dyDescent="0.35">
      <c r="C109" s="180" t="str">
        <f>INDEX('Finance to Brand Mapping'!$D$7:$D$100,MATCH('Raw Forecasting NPS Data'!$I109,'Finance to Brand Mapping'!$C$7:$C$100,0))</f>
        <v>Keytruda-Lenvima</v>
      </c>
      <c r="D109" s="138" t="s">
        <v>229</v>
      </c>
      <c r="E109" s="22" t="s">
        <v>84</v>
      </c>
      <c r="F109" s="22" t="s">
        <v>24</v>
      </c>
      <c r="G109" s="22" t="s">
        <v>235</v>
      </c>
      <c r="H109" s="22" t="s">
        <v>260</v>
      </c>
      <c r="I109" s="22" t="s">
        <v>261</v>
      </c>
      <c r="J109" s="22" t="s">
        <v>28</v>
      </c>
      <c r="K109" s="125">
        <v>0</v>
      </c>
      <c r="L109" s="125">
        <v>75.890445</v>
      </c>
      <c r="M109" s="125">
        <v>408.77839599999993</v>
      </c>
      <c r="N109" s="125">
        <v>243.53418400000001</v>
      </c>
      <c r="O109" s="125">
        <v>131.03848099999999</v>
      </c>
      <c r="P109" s="125">
        <v>8.7082999999999995</v>
      </c>
      <c r="Q109" s="126">
        <v>45475</v>
      </c>
      <c r="R109" s="22" t="s">
        <v>262</v>
      </c>
      <c r="S109" s="22">
        <v>24</v>
      </c>
      <c r="T109" s="22" t="s">
        <v>30</v>
      </c>
      <c r="U109" s="22" t="s">
        <v>31</v>
      </c>
      <c r="V109" s="128">
        <v>660.87676219349999</v>
      </c>
      <c r="W109" s="128">
        <v>3559.7649058867992</v>
      </c>
      <c r="X109" s="128">
        <v>2120.7687345271997</v>
      </c>
      <c r="Y109" s="127">
        <v>1</v>
      </c>
      <c r="Z109" s="127">
        <v>1</v>
      </c>
      <c r="AA109" s="128">
        <v>660.87676219349999</v>
      </c>
      <c r="AB109" s="128">
        <v>3559.7649058867992</v>
      </c>
      <c r="AC109" s="127">
        <v>0.3</v>
      </c>
      <c r="AD109" s="127">
        <v>0.7</v>
      </c>
      <c r="AE109" s="160">
        <v>2690.0984627788093</v>
      </c>
      <c r="AF109" s="164">
        <f>_xlfn.IFNA(INDEX('PGM Values'!$D$9:$D$17,MATCH('Raw Forecasting NPS Data'!$C109,'PGM Values'!$B$9:$B$17,0)),0)</f>
        <v>26793</v>
      </c>
      <c r="AG109" s="129">
        <f>_xlfn.IFNA(INDEX('PGM Values'!$C$9:$C$17,MATCH('Raw Forecasting NPS Data'!$C109,'PGM Values'!$B$9:$B$17,0)),0)</f>
        <v>19167.5</v>
      </c>
      <c r="AH109" s="129">
        <f t="shared" si="7"/>
        <v>72075808.113232642</v>
      </c>
      <c r="AI109" s="165">
        <f t="shared" si="8"/>
        <v>51562462.285312831</v>
      </c>
    </row>
    <row r="110" spans="3:35" x14ac:dyDescent="0.35">
      <c r="C110" s="180" t="str">
        <f>INDEX('Finance to Brand Mapping'!$D$7:$D$100,MATCH('Raw Forecasting NPS Data'!$I110,'Finance to Brand Mapping'!$C$7:$C$100,0))</f>
        <v>Keytruda-Lenvima</v>
      </c>
      <c r="D110" s="138" t="s">
        <v>229</v>
      </c>
      <c r="E110" s="22" t="s">
        <v>84</v>
      </c>
      <c r="F110" s="22" t="s">
        <v>24</v>
      </c>
      <c r="G110" s="22" t="s">
        <v>236</v>
      </c>
      <c r="H110" s="22" t="s">
        <v>260</v>
      </c>
      <c r="I110" s="22" t="s">
        <v>261</v>
      </c>
      <c r="J110" s="22" t="s">
        <v>28</v>
      </c>
      <c r="K110" s="125">
        <v>0</v>
      </c>
      <c r="L110" s="125">
        <v>175.913917</v>
      </c>
      <c r="M110" s="125">
        <v>1088.9034710000001</v>
      </c>
      <c r="N110" s="125">
        <v>813.22850800000015</v>
      </c>
      <c r="O110" s="125">
        <v>616.62321499999996</v>
      </c>
      <c r="P110" s="125">
        <v>8.0481999999999996</v>
      </c>
      <c r="Q110" s="126">
        <v>45475</v>
      </c>
      <c r="R110" s="22" t="s">
        <v>262</v>
      </c>
      <c r="S110" s="22">
        <v>24</v>
      </c>
      <c r="T110" s="22" t="s">
        <v>30</v>
      </c>
      <c r="U110" s="22" t="s">
        <v>31</v>
      </c>
      <c r="V110" s="128">
        <v>1415.7903867993998</v>
      </c>
      <c r="W110" s="128">
        <v>8763.7129153021997</v>
      </c>
      <c r="X110" s="128">
        <v>6545.0256780856007</v>
      </c>
      <c r="Y110" s="127">
        <v>1</v>
      </c>
      <c r="Z110" s="127">
        <v>1</v>
      </c>
      <c r="AA110" s="128">
        <v>1415.7903867993998</v>
      </c>
      <c r="AB110" s="128">
        <v>8763.7129153021997</v>
      </c>
      <c r="AC110" s="127">
        <v>0.3</v>
      </c>
      <c r="AD110" s="127">
        <v>0.7</v>
      </c>
      <c r="AE110" s="160">
        <v>6559.3361567513593</v>
      </c>
      <c r="AF110" s="164">
        <f>_xlfn.IFNA(INDEX('PGM Values'!$D$9:$D$17,MATCH('Raw Forecasting NPS Data'!$C110,'PGM Values'!$B$9:$B$17,0)),0)</f>
        <v>26793</v>
      </c>
      <c r="AG110" s="129">
        <f>_xlfn.IFNA(INDEX('PGM Values'!$C$9:$C$17,MATCH('Raw Forecasting NPS Data'!$C110,'PGM Values'!$B$9:$B$17,0)),0)</f>
        <v>19167.5</v>
      </c>
      <c r="AH110" s="129">
        <f t="shared" si="7"/>
        <v>175744293.64783916</v>
      </c>
      <c r="AI110" s="165">
        <f t="shared" si="8"/>
        <v>125726075.78453168</v>
      </c>
    </row>
    <row r="111" spans="3:35" x14ac:dyDescent="0.35">
      <c r="C111" s="180" t="str">
        <f>INDEX('Finance to Brand Mapping'!$D$7:$D$100,MATCH('Raw Forecasting NPS Data'!$I111,'Finance to Brand Mapping'!$C$7:$C$100,0))</f>
        <v>Keytruda-Lenvima</v>
      </c>
      <c r="D111" s="138" t="s">
        <v>229</v>
      </c>
      <c r="E111" s="22" t="s">
        <v>84</v>
      </c>
      <c r="F111" s="22" t="s">
        <v>24</v>
      </c>
      <c r="G111" s="22" t="s">
        <v>25</v>
      </c>
      <c r="H111" s="22" t="s">
        <v>260</v>
      </c>
      <c r="I111" s="22" t="s">
        <v>261</v>
      </c>
      <c r="J111" s="22" t="s">
        <v>28</v>
      </c>
      <c r="K111" s="125">
        <v>0</v>
      </c>
      <c r="L111" s="125">
        <v>266.04946200000001</v>
      </c>
      <c r="M111" s="125">
        <v>1646.8828260000003</v>
      </c>
      <c r="N111" s="125">
        <v>1230.950055</v>
      </c>
      <c r="O111" s="125">
        <v>870.71984599999996</v>
      </c>
      <c r="P111" s="125">
        <v>7.8331999999999899</v>
      </c>
      <c r="Q111" s="126">
        <v>45475</v>
      </c>
      <c r="R111" s="22" t="s">
        <v>262</v>
      </c>
      <c r="S111" s="22">
        <v>24</v>
      </c>
      <c r="T111" s="22" t="s">
        <v>30</v>
      </c>
      <c r="U111" s="22" t="s">
        <v>31</v>
      </c>
      <c r="V111" s="128">
        <v>2084.0186457383975</v>
      </c>
      <c r="W111" s="128">
        <v>12900.362552623186</v>
      </c>
      <c r="X111" s="128">
        <v>9642.2779708259877</v>
      </c>
      <c r="Y111" s="127">
        <v>1</v>
      </c>
      <c r="Z111" s="127">
        <v>1</v>
      </c>
      <c r="AA111" s="128">
        <v>2084.0186457383975</v>
      </c>
      <c r="AB111" s="128">
        <v>12900.362552623186</v>
      </c>
      <c r="AC111" s="127">
        <v>0.3</v>
      </c>
      <c r="AD111" s="127">
        <v>0.7</v>
      </c>
      <c r="AE111" s="160">
        <v>9655.4593805577497</v>
      </c>
      <c r="AF111" s="164">
        <f>_xlfn.IFNA(INDEX('PGM Values'!$D$9:$D$17,MATCH('Raw Forecasting NPS Data'!$C111,'PGM Values'!$B$9:$B$17,0)),0)</f>
        <v>26793</v>
      </c>
      <c r="AG111" s="129">
        <f>_xlfn.IFNA(INDEX('PGM Values'!$C$9:$C$17,MATCH('Raw Forecasting NPS Data'!$C111,'PGM Values'!$B$9:$B$17,0)),0)</f>
        <v>19167.5</v>
      </c>
      <c r="AH111" s="129">
        <f t="shared" si="7"/>
        <v>258698723.18328378</v>
      </c>
      <c r="AI111" s="165">
        <f t="shared" si="8"/>
        <v>185071017.67684066</v>
      </c>
    </row>
    <row r="112" spans="3:35" x14ac:dyDescent="0.35">
      <c r="C112" s="180" t="str">
        <f>INDEX('Finance to Brand Mapping'!$D$7:$D$100,MATCH('Raw Forecasting NPS Data'!$I112,'Finance to Brand Mapping'!$C$7:$C$100,0))</f>
        <v>Keytruda-Lenvima</v>
      </c>
      <c r="D112" s="138" t="s">
        <v>229</v>
      </c>
      <c r="E112" s="22" t="s">
        <v>84</v>
      </c>
      <c r="F112" s="22" t="s">
        <v>44</v>
      </c>
      <c r="G112" s="22" t="s">
        <v>231</v>
      </c>
      <c r="H112" s="22" t="s">
        <v>263</v>
      </c>
      <c r="I112" s="22" t="s">
        <v>264</v>
      </c>
      <c r="J112" s="22" t="s">
        <v>28</v>
      </c>
      <c r="K112" s="125">
        <v>0</v>
      </c>
      <c r="L112" s="125">
        <v>106.113727</v>
      </c>
      <c r="M112" s="125">
        <v>847.55676100000005</v>
      </c>
      <c r="N112" s="125">
        <v>917.22028100000011</v>
      </c>
      <c r="O112" s="125">
        <v>802.45895200000007</v>
      </c>
      <c r="P112" s="125">
        <v>6.0283984089999896</v>
      </c>
      <c r="Q112" s="126">
        <v>45414</v>
      </c>
      <c r="R112" s="22" t="s">
        <v>265</v>
      </c>
      <c r="S112" s="22">
        <v>24</v>
      </c>
      <c r="T112" s="22" t="s">
        <v>30</v>
      </c>
      <c r="U112" s="22" t="s">
        <v>31</v>
      </c>
      <c r="V112" s="128">
        <v>639.69582301985918</v>
      </c>
      <c r="W112" s="128">
        <v>5109.4098295495851</v>
      </c>
      <c r="X112" s="128">
        <v>5529.3692826829238</v>
      </c>
      <c r="Y112" s="127">
        <v>1</v>
      </c>
      <c r="Z112" s="127">
        <v>1</v>
      </c>
      <c r="AA112" s="128">
        <v>639.69582301985918</v>
      </c>
      <c r="AB112" s="128">
        <v>5109.4098295495851</v>
      </c>
      <c r="AC112" s="127">
        <v>0.4</v>
      </c>
      <c r="AD112" s="127">
        <v>0.6</v>
      </c>
      <c r="AE112" s="160">
        <v>3321.5242269376949</v>
      </c>
      <c r="AF112" s="164">
        <f>_xlfn.IFNA(INDEX('PGM Values'!$D$9:$D$17,MATCH('Raw Forecasting NPS Data'!$C112,'PGM Values'!$B$9:$B$17,0)),0)</f>
        <v>26793</v>
      </c>
      <c r="AG112" s="129">
        <f>_xlfn.IFNA(INDEX('PGM Values'!$C$9:$C$17,MATCH('Raw Forecasting NPS Data'!$C112,'PGM Values'!$B$9:$B$17,0)),0)</f>
        <v>19167.5</v>
      </c>
      <c r="AH112" s="129">
        <f t="shared" si="7"/>
        <v>88993598.612341657</v>
      </c>
      <c r="AI112" s="165">
        <f t="shared" si="8"/>
        <v>63665315.619828269</v>
      </c>
    </row>
    <row r="113" spans="3:35" x14ac:dyDescent="0.35">
      <c r="C113" s="180" t="str">
        <f>INDEX('Finance to Brand Mapping'!$D$7:$D$100,MATCH('Raw Forecasting NPS Data'!$I113,'Finance to Brand Mapping'!$C$7:$C$100,0))</f>
        <v>Keytruda-Lenvima</v>
      </c>
      <c r="D113" s="138" t="s">
        <v>229</v>
      </c>
      <c r="E113" s="22" t="s">
        <v>84</v>
      </c>
      <c r="F113" s="22" t="s">
        <v>44</v>
      </c>
      <c r="G113" s="22" t="s">
        <v>235</v>
      </c>
      <c r="H113" s="22" t="s">
        <v>263</v>
      </c>
      <c r="I113" s="22" t="s">
        <v>264</v>
      </c>
      <c r="J113" s="22" t="s">
        <v>28</v>
      </c>
      <c r="K113" s="125">
        <v>0</v>
      </c>
      <c r="L113" s="125">
        <v>96.513146999999989</v>
      </c>
      <c r="M113" s="125">
        <v>770.87454100000002</v>
      </c>
      <c r="N113" s="125">
        <v>834.23529099999996</v>
      </c>
      <c r="O113" s="125">
        <v>729.85693000000003</v>
      </c>
      <c r="P113" s="125">
        <v>6.0283984089999896</v>
      </c>
      <c r="Q113" s="126">
        <v>45414</v>
      </c>
      <c r="R113" s="22" t="s">
        <v>265</v>
      </c>
      <c r="S113" s="22">
        <v>24</v>
      </c>
      <c r="T113" s="22" t="s">
        <v>30</v>
      </c>
      <c r="U113" s="22" t="s">
        <v>31</v>
      </c>
      <c r="V113" s="128">
        <v>581.81970182238206</v>
      </c>
      <c r="W113" s="128">
        <v>4647.1388565029974</v>
      </c>
      <c r="X113" s="128">
        <v>5029.1027009960435</v>
      </c>
      <c r="Y113" s="127">
        <v>1</v>
      </c>
      <c r="Z113" s="127">
        <v>1</v>
      </c>
      <c r="AA113" s="128">
        <v>581.81970182238206</v>
      </c>
      <c r="AB113" s="128">
        <v>4647.1388565029974</v>
      </c>
      <c r="AC113" s="127">
        <v>0.4</v>
      </c>
      <c r="AD113" s="127">
        <v>0.6</v>
      </c>
      <c r="AE113" s="160">
        <v>3021.0111946307511</v>
      </c>
      <c r="AF113" s="164">
        <f>_xlfn.IFNA(INDEX('PGM Values'!$D$9:$D$17,MATCH('Raw Forecasting NPS Data'!$C113,'PGM Values'!$B$9:$B$17,0)),0)</f>
        <v>26793</v>
      </c>
      <c r="AG113" s="129">
        <f>_xlfn.IFNA(INDEX('PGM Values'!$C$9:$C$17,MATCH('Raw Forecasting NPS Data'!$C113,'PGM Values'!$B$9:$B$17,0)),0)</f>
        <v>19167.5</v>
      </c>
      <c r="AH113" s="129">
        <f t="shared" si="7"/>
        <v>80941952.937741712</v>
      </c>
      <c r="AI113" s="165">
        <f t="shared" si="8"/>
        <v>57905232.073084921</v>
      </c>
    </row>
    <row r="114" spans="3:35" x14ac:dyDescent="0.35">
      <c r="C114" s="180" t="str">
        <f>INDEX('Finance to Brand Mapping'!$D$7:$D$100,MATCH('Raw Forecasting NPS Data'!$I114,'Finance to Brand Mapping'!$C$7:$C$100,0))</f>
        <v>Keytruda-Lenvima</v>
      </c>
      <c r="D114" s="138" t="s">
        <v>229</v>
      </c>
      <c r="E114" s="22" t="s">
        <v>84</v>
      </c>
      <c r="F114" s="22" t="s">
        <v>44</v>
      </c>
      <c r="G114" s="22" t="s">
        <v>236</v>
      </c>
      <c r="H114" s="22" t="s">
        <v>263</v>
      </c>
      <c r="I114" s="22" t="s">
        <v>264</v>
      </c>
      <c r="J114" s="22" t="s">
        <v>28</v>
      </c>
      <c r="K114" s="125">
        <v>0</v>
      </c>
      <c r="L114" s="125">
        <v>105.09903299999999</v>
      </c>
      <c r="M114" s="125">
        <v>839.45213699999999</v>
      </c>
      <c r="N114" s="125">
        <v>908.44950899999992</v>
      </c>
      <c r="O114" s="125">
        <v>794.78556600000013</v>
      </c>
      <c r="P114" s="125">
        <v>6.0283984089999896</v>
      </c>
      <c r="Q114" s="126">
        <v>45414</v>
      </c>
      <c r="R114" s="22" t="s">
        <v>265</v>
      </c>
      <c r="S114" s="22">
        <v>24</v>
      </c>
      <c r="T114" s="22" t="s">
        <v>30</v>
      </c>
      <c r="U114" s="22" t="s">
        <v>31</v>
      </c>
      <c r="V114" s="128">
        <v>633.57884332463732</v>
      </c>
      <c r="W114" s="128">
        <v>5060.5519271224412</v>
      </c>
      <c r="X114" s="128">
        <v>5476.4955747124213</v>
      </c>
      <c r="Y114" s="127">
        <v>1</v>
      </c>
      <c r="Z114" s="127">
        <v>1</v>
      </c>
      <c r="AA114" s="128">
        <v>633.57884332463732</v>
      </c>
      <c r="AB114" s="128">
        <v>5060.5519271224412</v>
      </c>
      <c r="AC114" s="127">
        <v>0.4</v>
      </c>
      <c r="AD114" s="127">
        <v>0.6</v>
      </c>
      <c r="AE114" s="160">
        <v>3289.7626936033198</v>
      </c>
      <c r="AF114" s="164">
        <f>_xlfn.IFNA(INDEX('PGM Values'!$D$9:$D$17,MATCH('Raw Forecasting NPS Data'!$C114,'PGM Values'!$B$9:$B$17,0)),0)</f>
        <v>26793</v>
      </c>
      <c r="AG114" s="129">
        <f>_xlfn.IFNA(INDEX('PGM Values'!$C$9:$C$17,MATCH('Raw Forecasting NPS Data'!$C114,'PGM Values'!$B$9:$B$17,0)),0)</f>
        <v>19167.5</v>
      </c>
      <c r="AH114" s="129">
        <f t="shared" si="7"/>
        <v>88142611.849713743</v>
      </c>
      <c r="AI114" s="165">
        <f t="shared" si="8"/>
        <v>63056526.429641634</v>
      </c>
    </row>
    <row r="115" spans="3:35" x14ac:dyDescent="0.35">
      <c r="C115" s="180" t="str">
        <f>INDEX('Finance to Brand Mapping'!$D$7:$D$100,MATCH('Raw Forecasting NPS Data'!$I115,'Finance to Brand Mapping'!$C$7:$C$100,0))</f>
        <v>Keytruda-Lenvima</v>
      </c>
      <c r="D115" s="138" t="s">
        <v>229</v>
      </c>
      <c r="E115" s="22" t="s">
        <v>84</v>
      </c>
      <c r="F115" s="22" t="s">
        <v>44</v>
      </c>
      <c r="G115" s="22" t="s">
        <v>25</v>
      </c>
      <c r="H115" s="22" t="s">
        <v>263</v>
      </c>
      <c r="I115" s="22" t="s">
        <v>264</v>
      </c>
      <c r="J115" s="22" t="s">
        <v>28</v>
      </c>
      <c r="K115" s="125">
        <v>0</v>
      </c>
      <c r="L115" s="125">
        <v>82.541572000000002</v>
      </c>
      <c r="M115" s="125">
        <v>659.28008499999999</v>
      </c>
      <c r="N115" s="125">
        <v>713.46851600000002</v>
      </c>
      <c r="O115" s="125">
        <v>624.20032500000002</v>
      </c>
      <c r="P115" s="125">
        <v>6.0283984089999896</v>
      </c>
      <c r="Q115" s="126">
        <v>45414</v>
      </c>
      <c r="R115" s="22" t="s">
        <v>265</v>
      </c>
      <c r="S115" s="22">
        <v>24</v>
      </c>
      <c r="T115" s="22" t="s">
        <v>30</v>
      </c>
      <c r="U115" s="22" t="s">
        <v>31</v>
      </c>
      <c r="V115" s="128">
        <v>497.59348132115809</v>
      </c>
      <c r="W115" s="128">
        <v>3974.4030154993779</v>
      </c>
      <c r="X115" s="128">
        <v>4301.0724667259838</v>
      </c>
      <c r="Y115" s="127">
        <v>1</v>
      </c>
      <c r="Z115" s="127">
        <v>1</v>
      </c>
      <c r="AA115" s="128">
        <v>497.59348132115809</v>
      </c>
      <c r="AB115" s="128">
        <v>3974.4030154993779</v>
      </c>
      <c r="AC115" s="127">
        <v>0.4</v>
      </c>
      <c r="AD115" s="127">
        <v>0.6</v>
      </c>
      <c r="AE115" s="160">
        <v>2583.6792018280903</v>
      </c>
      <c r="AF115" s="164">
        <f>_xlfn.IFNA(INDEX('PGM Values'!$D$9:$D$17,MATCH('Raw Forecasting NPS Data'!$C115,'PGM Values'!$B$9:$B$17,0)),0)</f>
        <v>26793</v>
      </c>
      <c r="AG115" s="129">
        <f>_xlfn.IFNA(INDEX('PGM Values'!$C$9:$C$17,MATCH('Raw Forecasting NPS Data'!$C115,'PGM Values'!$B$9:$B$17,0)),0)</f>
        <v>19167.5</v>
      </c>
      <c r="AH115" s="129">
        <f t="shared" si="7"/>
        <v>69224516.85458003</v>
      </c>
      <c r="AI115" s="165">
        <f t="shared" si="8"/>
        <v>49522671.101039924</v>
      </c>
    </row>
    <row r="116" spans="3:35" x14ac:dyDescent="0.35">
      <c r="C116" s="180" t="str">
        <f>INDEX('Finance to Brand Mapping'!$D$7:$D$100,MATCH('Raw Forecasting NPS Data'!$I116,'Finance to Brand Mapping'!$C$7:$C$100,0))</f>
        <v>Keytruda-Lenvima</v>
      </c>
      <c r="D116" s="138" t="s">
        <v>229</v>
      </c>
      <c r="E116" s="22" t="s">
        <v>84</v>
      </c>
      <c r="F116" s="22" t="s">
        <v>44</v>
      </c>
      <c r="G116" s="22" t="s">
        <v>231</v>
      </c>
      <c r="H116" s="22" t="s">
        <v>263</v>
      </c>
      <c r="I116" s="22" t="s">
        <v>264</v>
      </c>
      <c r="J116" s="22" t="s">
        <v>28</v>
      </c>
      <c r="K116" s="125">
        <v>0</v>
      </c>
      <c r="L116" s="125">
        <v>30.144173000000002</v>
      </c>
      <c r="M116" s="125">
        <v>240.76902000000001</v>
      </c>
      <c r="N116" s="125">
        <v>260.558629</v>
      </c>
      <c r="O116" s="125">
        <v>227.95789399999998</v>
      </c>
      <c r="P116" s="125">
        <v>6.0283984089999896</v>
      </c>
      <c r="Q116" s="126">
        <v>45414</v>
      </c>
      <c r="R116" s="22" t="s">
        <v>265</v>
      </c>
      <c r="S116" s="22">
        <v>24</v>
      </c>
      <c r="T116" s="22" t="s">
        <v>30</v>
      </c>
      <c r="U116" s="22" t="s">
        <v>31</v>
      </c>
      <c r="V116" s="128">
        <v>181.72108455382045</v>
      </c>
      <c r="W116" s="128">
        <v>1451.4515771044867</v>
      </c>
      <c r="X116" s="128">
        <v>1570.7512245148184</v>
      </c>
      <c r="Y116" s="127">
        <v>1</v>
      </c>
      <c r="Z116" s="127">
        <v>1</v>
      </c>
      <c r="AA116" s="128">
        <v>181.72108455382045</v>
      </c>
      <c r="AB116" s="128">
        <v>1451.4515771044867</v>
      </c>
      <c r="AC116" s="127">
        <v>0.4</v>
      </c>
      <c r="AD116" s="127">
        <v>0.6</v>
      </c>
      <c r="AE116" s="160">
        <v>943.55938008422015</v>
      </c>
      <c r="AF116" s="164">
        <f>_xlfn.IFNA(INDEX('PGM Values'!$D$9:$D$17,MATCH('Raw Forecasting NPS Data'!$C116,'PGM Values'!$B$9:$B$17,0)),0)</f>
        <v>26793</v>
      </c>
      <c r="AG116" s="129">
        <f>_xlfn.IFNA(INDEX('PGM Values'!$C$9:$C$17,MATCH('Raw Forecasting NPS Data'!$C116,'PGM Values'!$B$9:$B$17,0)),0)</f>
        <v>19167.5</v>
      </c>
      <c r="AH116" s="129">
        <f t="shared" si="7"/>
        <v>25280786.470596511</v>
      </c>
      <c r="AI116" s="165">
        <f t="shared" si="8"/>
        <v>18085674.417764291</v>
      </c>
    </row>
    <row r="117" spans="3:35" x14ac:dyDescent="0.35">
      <c r="C117" s="180" t="str">
        <f>INDEX('Finance to Brand Mapping'!$D$7:$D$100,MATCH('Raw Forecasting NPS Data'!$I117,'Finance to Brand Mapping'!$C$7:$C$100,0))</f>
        <v>Keytruda-Lenvima</v>
      </c>
      <c r="D117" s="138" t="s">
        <v>229</v>
      </c>
      <c r="E117" s="22" t="s">
        <v>84</v>
      </c>
      <c r="F117" s="22" t="s">
        <v>44</v>
      </c>
      <c r="G117" s="22" t="s">
        <v>235</v>
      </c>
      <c r="H117" s="22" t="s">
        <v>263</v>
      </c>
      <c r="I117" s="22" t="s">
        <v>264</v>
      </c>
      <c r="J117" s="22" t="s">
        <v>28</v>
      </c>
      <c r="K117" s="125">
        <v>0</v>
      </c>
      <c r="L117" s="125">
        <v>22.919345</v>
      </c>
      <c r="M117" s="125">
        <v>183.062512</v>
      </c>
      <c r="N117" s="125">
        <v>198.10903099999996</v>
      </c>
      <c r="O117" s="125">
        <v>173.32190500000002</v>
      </c>
      <c r="P117" s="125">
        <v>6.0283984089999896</v>
      </c>
      <c r="Q117" s="126">
        <v>45414</v>
      </c>
      <c r="R117" s="22" t="s">
        <v>265</v>
      </c>
      <c r="S117" s="22">
        <v>24</v>
      </c>
      <c r="T117" s="22" t="s">
        <v>30</v>
      </c>
      <c r="U117" s="22" t="s">
        <v>31</v>
      </c>
      <c r="V117" s="128">
        <v>138.16694293332188</v>
      </c>
      <c r="W117" s="128">
        <v>1103.5737560883415</v>
      </c>
      <c r="X117" s="128">
        <v>1194.2801672889293</v>
      </c>
      <c r="Y117" s="127">
        <v>1</v>
      </c>
      <c r="Z117" s="127">
        <v>1</v>
      </c>
      <c r="AA117" s="128">
        <v>138.16694293332188</v>
      </c>
      <c r="AB117" s="128">
        <v>1103.5737560883415</v>
      </c>
      <c r="AC117" s="127">
        <v>0.4</v>
      </c>
      <c r="AD117" s="127">
        <v>0.6</v>
      </c>
      <c r="AE117" s="160">
        <v>717.41103082633356</v>
      </c>
      <c r="AF117" s="164">
        <f>_xlfn.IFNA(INDEX('PGM Values'!$D$9:$D$17,MATCH('Raw Forecasting NPS Data'!$C117,'PGM Values'!$B$9:$B$17,0)),0)</f>
        <v>26793</v>
      </c>
      <c r="AG117" s="129">
        <f>_xlfn.IFNA(INDEX('PGM Values'!$C$9:$C$17,MATCH('Raw Forecasting NPS Data'!$C117,'PGM Values'!$B$9:$B$17,0)),0)</f>
        <v>19167.5</v>
      </c>
      <c r="AH117" s="129">
        <f t="shared" si="7"/>
        <v>19221593.748929955</v>
      </c>
      <c r="AI117" s="165">
        <f t="shared" si="8"/>
        <v>13750975.933363749</v>
      </c>
    </row>
    <row r="118" spans="3:35" x14ac:dyDescent="0.35">
      <c r="C118" s="180" t="str">
        <f>INDEX('Finance to Brand Mapping'!$D$7:$D$100,MATCH('Raw Forecasting NPS Data'!$I118,'Finance to Brand Mapping'!$C$7:$C$100,0))</f>
        <v>Keytruda-Lenvima</v>
      </c>
      <c r="D118" s="138" t="s">
        <v>229</v>
      </c>
      <c r="E118" s="22" t="s">
        <v>84</v>
      </c>
      <c r="F118" s="22" t="s">
        <v>44</v>
      </c>
      <c r="G118" s="22" t="s">
        <v>236</v>
      </c>
      <c r="H118" s="22" t="s">
        <v>263</v>
      </c>
      <c r="I118" s="22" t="s">
        <v>264</v>
      </c>
      <c r="J118" s="22" t="s">
        <v>28</v>
      </c>
      <c r="K118" s="125">
        <v>0</v>
      </c>
      <c r="L118" s="125">
        <v>37.590052</v>
      </c>
      <c r="M118" s="125">
        <v>300.24110300000001</v>
      </c>
      <c r="N118" s="125">
        <v>324.91892299999995</v>
      </c>
      <c r="O118" s="125">
        <v>284.26551699999999</v>
      </c>
      <c r="P118" s="125">
        <v>6.0283984089999896</v>
      </c>
      <c r="Q118" s="126">
        <v>45414</v>
      </c>
      <c r="R118" s="22" t="s">
        <v>265</v>
      </c>
      <c r="S118" s="22">
        <v>24</v>
      </c>
      <c r="T118" s="22" t="s">
        <v>30</v>
      </c>
      <c r="U118" s="22" t="s">
        <v>31</v>
      </c>
      <c r="V118" s="128">
        <v>226.60780967102687</v>
      </c>
      <c r="W118" s="128">
        <v>1809.972987641602</v>
      </c>
      <c r="X118" s="128">
        <v>1958.7407184671897</v>
      </c>
      <c r="Y118" s="127">
        <v>1</v>
      </c>
      <c r="Z118" s="127">
        <v>1</v>
      </c>
      <c r="AA118" s="128">
        <v>226.60780967102687</v>
      </c>
      <c r="AB118" s="128">
        <v>1809.972987641602</v>
      </c>
      <c r="AC118" s="127">
        <v>0.4</v>
      </c>
      <c r="AD118" s="127">
        <v>0.6</v>
      </c>
      <c r="AE118" s="160">
        <v>1176.6269164533719</v>
      </c>
      <c r="AF118" s="164">
        <f>_xlfn.IFNA(INDEX('PGM Values'!$D$9:$D$17,MATCH('Raw Forecasting NPS Data'!$C118,'PGM Values'!$B$9:$B$17,0)),0)</f>
        <v>26793</v>
      </c>
      <c r="AG118" s="129">
        <f>_xlfn.IFNA(INDEX('PGM Values'!$C$9:$C$17,MATCH('Raw Forecasting NPS Data'!$C118,'PGM Values'!$B$9:$B$17,0)),0)</f>
        <v>19167.5</v>
      </c>
      <c r="AH118" s="129">
        <f t="shared" si="7"/>
        <v>31525364.972535193</v>
      </c>
      <c r="AI118" s="165">
        <f t="shared" si="8"/>
        <v>22552996.421120007</v>
      </c>
    </row>
    <row r="119" spans="3:35" x14ac:dyDescent="0.35">
      <c r="C119" s="180" t="str">
        <f>INDEX('Finance to Brand Mapping'!$D$7:$D$100,MATCH('Raw Forecasting NPS Data'!$I119,'Finance to Brand Mapping'!$C$7:$C$100,0))</f>
        <v>Keytruda-Lenvima</v>
      </c>
      <c r="D119" s="138" t="s">
        <v>229</v>
      </c>
      <c r="E119" s="22" t="s">
        <v>84</v>
      </c>
      <c r="F119" s="22" t="s">
        <v>44</v>
      </c>
      <c r="G119" s="22" t="s">
        <v>25</v>
      </c>
      <c r="H119" s="22" t="s">
        <v>263</v>
      </c>
      <c r="I119" s="22" t="s">
        <v>264</v>
      </c>
      <c r="J119" s="22" t="s">
        <v>28</v>
      </c>
      <c r="K119" s="125">
        <v>0</v>
      </c>
      <c r="L119" s="125">
        <v>25.688279999999999</v>
      </c>
      <c r="M119" s="125">
        <v>205.178695</v>
      </c>
      <c r="N119" s="125">
        <v>222.04301600000002</v>
      </c>
      <c r="O119" s="125">
        <v>194.261302</v>
      </c>
      <c r="P119" s="125">
        <v>6.0283984089999896</v>
      </c>
      <c r="Q119" s="126">
        <v>45414</v>
      </c>
      <c r="R119" s="22" t="s">
        <v>265</v>
      </c>
      <c r="S119" s="22">
        <v>24</v>
      </c>
      <c r="T119" s="22" t="s">
        <v>30</v>
      </c>
      <c r="U119" s="22" t="s">
        <v>31</v>
      </c>
      <c r="V119" s="128">
        <v>154.85918628194625</v>
      </c>
      <c r="W119" s="128">
        <v>1236.8989184986942</v>
      </c>
      <c r="X119" s="128">
        <v>1338.5637643839593</v>
      </c>
      <c r="Y119" s="127">
        <v>1</v>
      </c>
      <c r="Z119" s="127">
        <v>1</v>
      </c>
      <c r="AA119" s="128">
        <v>154.85918628194625</v>
      </c>
      <c r="AB119" s="128">
        <v>1236.8989184986942</v>
      </c>
      <c r="AC119" s="127">
        <v>0.4</v>
      </c>
      <c r="AD119" s="127">
        <v>0.6</v>
      </c>
      <c r="AE119" s="160">
        <v>804.08302561199503</v>
      </c>
      <c r="AF119" s="164">
        <f>_xlfn.IFNA(INDEX('PGM Values'!$D$9:$D$17,MATCH('Raw Forecasting NPS Data'!$C119,'PGM Values'!$B$9:$B$17,0)),0)</f>
        <v>26793</v>
      </c>
      <c r="AG119" s="129">
        <f>_xlfn.IFNA(INDEX('PGM Values'!$C$9:$C$17,MATCH('Raw Forecasting NPS Data'!$C119,'PGM Values'!$B$9:$B$17,0)),0)</f>
        <v>19167.5</v>
      </c>
      <c r="AH119" s="129">
        <f t="shared" si="7"/>
        <v>21543796.505222183</v>
      </c>
      <c r="AI119" s="165">
        <f t="shared" si="8"/>
        <v>15412261.393417915</v>
      </c>
    </row>
    <row r="120" spans="3:35" x14ac:dyDescent="0.35">
      <c r="C120" s="180" t="str">
        <f>INDEX('Finance to Brand Mapping'!$D$7:$D$100,MATCH('Raw Forecasting NPS Data'!$I120,'Finance to Brand Mapping'!$C$7:$C$100,0))</f>
        <v>Keytruda</v>
      </c>
      <c r="D120" s="138" t="s">
        <v>229</v>
      </c>
      <c r="E120" s="22" t="s">
        <v>43</v>
      </c>
      <c r="F120" s="22" t="s">
        <v>24</v>
      </c>
      <c r="G120" s="22" t="s">
        <v>231</v>
      </c>
      <c r="H120" s="22" t="s">
        <v>266</v>
      </c>
      <c r="I120" s="22" t="s">
        <v>258</v>
      </c>
      <c r="J120" s="22" t="s">
        <v>28</v>
      </c>
      <c r="K120" s="125">
        <v>625.55848799999978</v>
      </c>
      <c r="L120" s="125">
        <v>625.55848799999978</v>
      </c>
      <c r="M120" s="125">
        <v>622.6398019999998</v>
      </c>
      <c r="N120" s="125">
        <v>483.49131500000004</v>
      </c>
      <c r="O120" s="125">
        <v>365.61003700000003</v>
      </c>
      <c r="P120" s="125">
        <v>5.7441000000000004</v>
      </c>
      <c r="Q120" s="126">
        <v>43101</v>
      </c>
      <c r="R120" s="22" t="s">
        <v>267</v>
      </c>
      <c r="S120" s="22" t="s">
        <v>41</v>
      </c>
      <c r="T120" s="22" t="s">
        <v>57</v>
      </c>
      <c r="U120" s="22" t="s">
        <v>47</v>
      </c>
      <c r="V120" s="128">
        <v>3593.2705109207991</v>
      </c>
      <c r="W120" s="128">
        <v>3576.505286668199</v>
      </c>
      <c r="X120" s="128">
        <v>2777.2224624915007</v>
      </c>
      <c r="Y120" s="127">
        <v>0.3</v>
      </c>
      <c r="Z120" s="127">
        <v>0.3</v>
      </c>
      <c r="AA120" s="128">
        <v>1077.9811532762396</v>
      </c>
      <c r="AB120" s="128">
        <v>1072.9515860004597</v>
      </c>
      <c r="AC120" s="127">
        <v>0.65</v>
      </c>
      <c r="AD120" s="127">
        <v>0.35</v>
      </c>
      <c r="AE120" s="160">
        <v>1076.2208047297167</v>
      </c>
      <c r="AF120" s="164">
        <f>_xlfn.IFNA(INDEX('PGM Values'!$D$9:$D$17,MATCH('Raw Forecasting NPS Data'!$C120,'PGM Values'!$B$9:$B$17,0)),0)</f>
        <v>11542</v>
      </c>
      <c r="AG120" s="129">
        <f>_xlfn.IFNA(INDEX('PGM Values'!$C$9:$C$17,MATCH('Raw Forecasting NPS Data'!$C120,'PGM Values'!$B$9:$B$17,0)),0)</f>
        <v>11542</v>
      </c>
      <c r="AH120" s="129">
        <f t="shared" si="7"/>
        <v>12421740.528190391</v>
      </c>
      <c r="AI120" s="165">
        <f t="shared" si="8"/>
        <v>12421740.528190391</v>
      </c>
    </row>
    <row r="121" spans="3:35" x14ac:dyDescent="0.35">
      <c r="C121" s="180" t="str">
        <f>INDEX('Finance to Brand Mapping'!$D$7:$D$100,MATCH('Raw Forecasting NPS Data'!$I121,'Finance to Brand Mapping'!$C$7:$C$100,0))</f>
        <v>Keytruda</v>
      </c>
      <c r="D121" s="138" t="s">
        <v>229</v>
      </c>
      <c r="E121" s="22" t="s">
        <v>43</v>
      </c>
      <c r="F121" s="22" t="s">
        <v>24</v>
      </c>
      <c r="G121" s="22" t="s">
        <v>235</v>
      </c>
      <c r="H121" s="22" t="s">
        <v>266</v>
      </c>
      <c r="I121" s="22" t="s">
        <v>258</v>
      </c>
      <c r="J121" s="22" t="s">
        <v>28</v>
      </c>
      <c r="K121" s="125">
        <v>4291.9470240000001</v>
      </c>
      <c r="L121" s="125">
        <v>3953.7075289999998</v>
      </c>
      <c r="M121" s="125">
        <v>3430.7864230000005</v>
      </c>
      <c r="N121" s="125">
        <v>3068.5407590000004</v>
      </c>
      <c r="O121" s="125">
        <v>2158.0030570000004</v>
      </c>
      <c r="P121" s="125">
        <v>9.1261999999999901</v>
      </c>
      <c r="Q121" s="126">
        <v>43101</v>
      </c>
      <c r="R121" s="22" t="s">
        <v>267</v>
      </c>
      <c r="S121" s="22" t="s">
        <v>41</v>
      </c>
      <c r="T121" s="22" t="s">
        <v>57</v>
      </c>
      <c r="U121" s="22" t="s">
        <v>47</v>
      </c>
      <c r="V121" s="128">
        <v>36082.325651159757</v>
      </c>
      <c r="W121" s="128">
        <v>31310.043053582569</v>
      </c>
      <c r="X121" s="128">
        <v>28004.116674785775</v>
      </c>
      <c r="Y121" s="127">
        <v>0.3</v>
      </c>
      <c r="Z121" s="127">
        <v>0.3</v>
      </c>
      <c r="AA121" s="128">
        <v>10824.697695347926</v>
      </c>
      <c r="AB121" s="128">
        <v>9393.0129160747711</v>
      </c>
      <c r="AC121" s="127">
        <v>0.65</v>
      </c>
      <c r="AD121" s="127">
        <v>0.35</v>
      </c>
      <c r="AE121" s="160">
        <v>10323.608022602322</v>
      </c>
      <c r="AF121" s="164">
        <f>_xlfn.IFNA(INDEX('PGM Values'!$D$9:$D$17,MATCH('Raw Forecasting NPS Data'!$C121,'PGM Values'!$B$9:$B$17,0)),0)</f>
        <v>11542</v>
      </c>
      <c r="AG121" s="129">
        <f>_xlfn.IFNA(INDEX('PGM Values'!$C$9:$C$17,MATCH('Raw Forecasting NPS Data'!$C121,'PGM Values'!$B$9:$B$17,0)),0)</f>
        <v>11542</v>
      </c>
      <c r="AH121" s="129">
        <f t="shared" si="7"/>
        <v>119155083.796876</v>
      </c>
      <c r="AI121" s="165">
        <f t="shared" si="8"/>
        <v>119155083.796876</v>
      </c>
    </row>
    <row r="122" spans="3:35" x14ac:dyDescent="0.35">
      <c r="C122" s="180" t="str">
        <f>INDEX('Finance to Brand Mapping'!$D$7:$D$100,MATCH('Raw Forecasting NPS Data'!$I122,'Finance to Brand Mapping'!$C$7:$C$100,0))</f>
        <v>Keytruda</v>
      </c>
      <c r="D122" s="138" t="s">
        <v>229</v>
      </c>
      <c r="E122" s="22" t="s">
        <v>43</v>
      </c>
      <c r="F122" s="22" t="s">
        <v>24</v>
      </c>
      <c r="G122" s="22" t="s">
        <v>236</v>
      </c>
      <c r="H122" s="22" t="s">
        <v>266</v>
      </c>
      <c r="I122" s="22" t="s">
        <v>258</v>
      </c>
      <c r="J122" s="22" t="s">
        <v>28</v>
      </c>
      <c r="K122" s="125">
        <v>1591.8067200000003</v>
      </c>
      <c r="L122" s="125">
        <v>1591.8067200000003</v>
      </c>
      <c r="M122" s="125">
        <v>1593.0007880000001</v>
      </c>
      <c r="N122" s="125">
        <v>1432.3326529999997</v>
      </c>
      <c r="O122" s="125">
        <v>1031.1827150000001</v>
      </c>
      <c r="P122" s="125">
        <v>6.1169999999999902</v>
      </c>
      <c r="Q122" s="126">
        <v>43132</v>
      </c>
      <c r="R122" s="22" t="s">
        <v>267</v>
      </c>
      <c r="S122" s="22" t="s">
        <v>41</v>
      </c>
      <c r="T122" s="22" t="s">
        <v>47</v>
      </c>
      <c r="U122" s="22" t="s">
        <v>47</v>
      </c>
      <c r="V122" s="128">
        <v>9737.0817062399856</v>
      </c>
      <c r="W122" s="128">
        <v>9744.3858201959847</v>
      </c>
      <c r="X122" s="128">
        <v>8761.5788384009848</v>
      </c>
      <c r="Y122" s="127">
        <v>0.3</v>
      </c>
      <c r="Z122" s="127">
        <v>0.3</v>
      </c>
      <c r="AA122" s="128">
        <v>2921.1245118719958</v>
      </c>
      <c r="AB122" s="128">
        <v>2923.3157460587954</v>
      </c>
      <c r="AC122" s="127">
        <v>0.65</v>
      </c>
      <c r="AD122" s="127">
        <v>0.35</v>
      </c>
      <c r="AE122" s="160">
        <v>2921.8914438373758</v>
      </c>
      <c r="AF122" s="164">
        <f>_xlfn.IFNA(INDEX('PGM Values'!$D$9:$D$17,MATCH('Raw Forecasting NPS Data'!$C122,'PGM Values'!$B$9:$B$17,0)),0)</f>
        <v>11542</v>
      </c>
      <c r="AG122" s="129">
        <f>_xlfn.IFNA(INDEX('PGM Values'!$C$9:$C$17,MATCH('Raw Forecasting NPS Data'!$C122,'PGM Values'!$B$9:$B$17,0)),0)</f>
        <v>11542</v>
      </c>
      <c r="AH122" s="129">
        <f t="shared" si="7"/>
        <v>33724471.044770993</v>
      </c>
      <c r="AI122" s="165">
        <f t="shared" si="8"/>
        <v>33724471.044770993</v>
      </c>
    </row>
    <row r="123" spans="3:35" x14ac:dyDescent="0.35">
      <c r="C123" s="180" t="str">
        <f>INDEX('Finance to Brand Mapping'!$D$7:$D$100,MATCH('Raw Forecasting NPS Data'!$I123,'Finance to Brand Mapping'!$C$7:$C$100,0))</f>
        <v>Keytruda</v>
      </c>
      <c r="D123" s="138" t="s">
        <v>229</v>
      </c>
      <c r="E123" s="22" t="s">
        <v>43</v>
      </c>
      <c r="F123" s="22" t="s">
        <v>24</v>
      </c>
      <c r="G123" s="22" t="s">
        <v>25</v>
      </c>
      <c r="H123" s="22" t="s">
        <v>266</v>
      </c>
      <c r="I123" s="22" t="s">
        <v>258</v>
      </c>
      <c r="J123" s="22" t="s">
        <v>28</v>
      </c>
      <c r="K123" s="125">
        <v>1296.285384</v>
      </c>
      <c r="L123" s="125">
        <v>1296.285384</v>
      </c>
      <c r="M123" s="125">
        <v>1286.708991</v>
      </c>
      <c r="N123" s="125">
        <v>905.38448500000004</v>
      </c>
      <c r="O123" s="125">
        <v>653.81232799999998</v>
      </c>
      <c r="P123" s="125">
        <v>7.0952000000000002</v>
      </c>
      <c r="Q123" s="126">
        <v>43101</v>
      </c>
      <c r="R123" s="22" t="s">
        <v>267</v>
      </c>
      <c r="S123" s="22" t="s">
        <v>41</v>
      </c>
      <c r="T123" s="22" t="s">
        <v>57</v>
      </c>
      <c r="U123" s="22" t="s">
        <v>47</v>
      </c>
      <c r="V123" s="128">
        <v>9197.4040565568012</v>
      </c>
      <c r="W123" s="128">
        <v>9129.4576329432002</v>
      </c>
      <c r="X123" s="128">
        <v>6423.8839979720005</v>
      </c>
      <c r="Y123" s="127">
        <v>0.3</v>
      </c>
      <c r="Z123" s="127">
        <v>0.3</v>
      </c>
      <c r="AA123" s="128">
        <v>2759.2212169670402</v>
      </c>
      <c r="AB123" s="128">
        <v>2738.8372898829598</v>
      </c>
      <c r="AC123" s="127">
        <v>0.65</v>
      </c>
      <c r="AD123" s="127">
        <v>0.35</v>
      </c>
      <c r="AE123" s="160">
        <v>2752.0868424876121</v>
      </c>
      <c r="AF123" s="164">
        <f>_xlfn.IFNA(INDEX('PGM Values'!$D$9:$D$17,MATCH('Raw Forecasting NPS Data'!$C123,'PGM Values'!$B$9:$B$17,0)),0)</f>
        <v>11542</v>
      </c>
      <c r="AG123" s="129">
        <f>_xlfn.IFNA(INDEX('PGM Values'!$C$9:$C$17,MATCH('Raw Forecasting NPS Data'!$C123,'PGM Values'!$B$9:$B$17,0)),0)</f>
        <v>11542</v>
      </c>
      <c r="AH123" s="129">
        <f t="shared" si="7"/>
        <v>31764586.33599202</v>
      </c>
      <c r="AI123" s="165">
        <f t="shared" si="8"/>
        <v>31764586.33599202</v>
      </c>
    </row>
    <row r="124" spans="3:35" x14ac:dyDescent="0.35">
      <c r="C124" s="180" t="str">
        <f>INDEX('Finance to Brand Mapping'!$D$7:$D$100,MATCH('Raw Forecasting NPS Data'!$I124,'Finance to Brand Mapping'!$C$7:$C$100,0))</f>
        <v>Keytruda</v>
      </c>
      <c r="D124" s="138" t="s">
        <v>229</v>
      </c>
      <c r="E124" s="22" t="s">
        <v>43</v>
      </c>
      <c r="F124" s="22" t="s">
        <v>24</v>
      </c>
      <c r="G124" s="22" t="s">
        <v>231</v>
      </c>
      <c r="H124" s="22" t="s">
        <v>266</v>
      </c>
      <c r="I124" s="22" t="s">
        <v>258</v>
      </c>
      <c r="J124" s="22" t="s">
        <v>28</v>
      </c>
      <c r="K124" s="125">
        <v>350.33786399999991</v>
      </c>
      <c r="L124" s="125">
        <v>350.33786399999991</v>
      </c>
      <c r="M124" s="125">
        <v>350.33786399999991</v>
      </c>
      <c r="N124" s="125">
        <v>301.90962199999996</v>
      </c>
      <c r="O124" s="125">
        <v>234.75047499999999</v>
      </c>
      <c r="P124" s="125">
        <v>5.7441000000000004</v>
      </c>
      <c r="Q124" s="126">
        <v>43101</v>
      </c>
      <c r="R124" s="22" t="s">
        <v>267</v>
      </c>
      <c r="S124" s="22" t="s">
        <v>41</v>
      </c>
      <c r="T124" s="22" t="s">
        <v>57</v>
      </c>
      <c r="U124" s="22" t="s">
        <v>47</v>
      </c>
      <c r="V124" s="128">
        <v>2012.3757246023997</v>
      </c>
      <c r="W124" s="128">
        <v>2012.3757246023997</v>
      </c>
      <c r="X124" s="128">
        <v>1734.1990597301999</v>
      </c>
      <c r="Y124" s="127">
        <v>0.3</v>
      </c>
      <c r="Z124" s="127">
        <v>0.3</v>
      </c>
      <c r="AA124" s="128">
        <v>603.71271738071994</v>
      </c>
      <c r="AB124" s="128">
        <v>603.71271738071994</v>
      </c>
      <c r="AC124" s="127">
        <v>0.65</v>
      </c>
      <c r="AD124" s="127">
        <v>0.35</v>
      </c>
      <c r="AE124" s="160">
        <v>603.71271738071994</v>
      </c>
      <c r="AF124" s="164">
        <f>_xlfn.IFNA(INDEX('PGM Values'!$D$9:$D$17,MATCH('Raw Forecasting NPS Data'!$C124,'PGM Values'!$B$9:$B$17,0)),0)</f>
        <v>11542</v>
      </c>
      <c r="AG124" s="129">
        <f>_xlfn.IFNA(INDEX('PGM Values'!$C$9:$C$17,MATCH('Raw Forecasting NPS Data'!$C124,'PGM Values'!$B$9:$B$17,0)),0)</f>
        <v>11542</v>
      </c>
      <c r="AH124" s="129">
        <f t="shared" si="7"/>
        <v>6968052.1840082696</v>
      </c>
      <c r="AI124" s="165">
        <f t="shared" si="8"/>
        <v>6968052.1840082696</v>
      </c>
    </row>
    <row r="125" spans="3:35" x14ac:dyDescent="0.35">
      <c r="C125" s="180" t="str">
        <f>INDEX('Finance to Brand Mapping'!$D$7:$D$100,MATCH('Raw Forecasting NPS Data'!$I125,'Finance to Brand Mapping'!$C$7:$C$100,0))</f>
        <v>Keytruda</v>
      </c>
      <c r="D125" s="138" t="s">
        <v>229</v>
      </c>
      <c r="E125" s="22" t="s">
        <v>43</v>
      </c>
      <c r="F125" s="22" t="s">
        <v>24</v>
      </c>
      <c r="G125" s="22" t="s">
        <v>235</v>
      </c>
      <c r="H125" s="22" t="s">
        <v>266</v>
      </c>
      <c r="I125" s="22" t="s">
        <v>258</v>
      </c>
      <c r="J125" s="22" t="s">
        <v>28</v>
      </c>
      <c r="K125" s="125">
        <v>1436.1633120000004</v>
      </c>
      <c r="L125" s="125">
        <v>1268.5976640000001</v>
      </c>
      <c r="M125" s="125">
        <v>1007.3645910000001</v>
      </c>
      <c r="N125" s="125">
        <v>906.98443299999997</v>
      </c>
      <c r="O125" s="125">
        <v>691.63755399999991</v>
      </c>
      <c r="P125" s="125">
        <v>9.1261999999999901</v>
      </c>
      <c r="Q125" s="126">
        <v>43101</v>
      </c>
      <c r="R125" s="22" t="s">
        <v>267</v>
      </c>
      <c r="S125" s="22" t="s">
        <v>41</v>
      </c>
      <c r="T125" s="22" t="s">
        <v>57</v>
      </c>
      <c r="U125" s="22" t="s">
        <v>47</v>
      </c>
      <c r="V125" s="128">
        <v>11577.476001196788</v>
      </c>
      <c r="W125" s="128">
        <v>9193.410730384192</v>
      </c>
      <c r="X125" s="128">
        <v>8277.3213324445915</v>
      </c>
      <c r="Y125" s="127">
        <v>0.3</v>
      </c>
      <c r="Z125" s="127">
        <v>0.3</v>
      </c>
      <c r="AA125" s="128">
        <v>3473.2428003590362</v>
      </c>
      <c r="AB125" s="128">
        <v>2758.0232191152577</v>
      </c>
      <c r="AC125" s="127">
        <v>0.65</v>
      </c>
      <c r="AD125" s="127">
        <v>0.35</v>
      </c>
      <c r="AE125" s="160">
        <v>3222.9159469237138</v>
      </c>
      <c r="AF125" s="164">
        <f>_xlfn.IFNA(INDEX('PGM Values'!$D$9:$D$17,MATCH('Raw Forecasting NPS Data'!$C125,'PGM Values'!$B$9:$B$17,0)),0)</f>
        <v>11542</v>
      </c>
      <c r="AG125" s="129">
        <f>_xlfn.IFNA(INDEX('PGM Values'!$C$9:$C$17,MATCH('Raw Forecasting NPS Data'!$C125,'PGM Values'!$B$9:$B$17,0)),0)</f>
        <v>11542</v>
      </c>
      <c r="AH125" s="129">
        <f t="shared" si="7"/>
        <v>37198895.859393507</v>
      </c>
      <c r="AI125" s="165">
        <f t="shared" si="8"/>
        <v>37198895.859393507</v>
      </c>
    </row>
    <row r="126" spans="3:35" x14ac:dyDescent="0.35">
      <c r="C126" s="180" t="str">
        <f>INDEX('Finance to Brand Mapping'!$D$7:$D$100,MATCH('Raw Forecasting NPS Data'!$I126,'Finance to Brand Mapping'!$C$7:$C$100,0))</f>
        <v>Keytruda</v>
      </c>
      <c r="D126" s="138" t="s">
        <v>229</v>
      </c>
      <c r="E126" s="22" t="s">
        <v>43</v>
      </c>
      <c r="F126" s="22" t="s">
        <v>24</v>
      </c>
      <c r="G126" s="22" t="s">
        <v>236</v>
      </c>
      <c r="H126" s="22" t="s">
        <v>266</v>
      </c>
      <c r="I126" s="22" t="s">
        <v>258</v>
      </c>
      <c r="J126" s="22" t="s">
        <v>28</v>
      </c>
      <c r="K126" s="125">
        <v>694.65151199999991</v>
      </c>
      <c r="L126" s="125">
        <v>694.65151199999991</v>
      </c>
      <c r="M126" s="125">
        <v>694.65151199999991</v>
      </c>
      <c r="N126" s="125">
        <v>780.41597499999989</v>
      </c>
      <c r="O126" s="125">
        <v>661.65853500000003</v>
      </c>
      <c r="P126" s="125">
        <v>6.1169999999999902</v>
      </c>
      <c r="Q126" s="126">
        <v>43101</v>
      </c>
      <c r="R126" s="22" t="s">
        <v>267</v>
      </c>
      <c r="S126" s="22" t="s">
        <v>41</v>
      </c>
      <c r="T126" s="22" t="s">
        <v>57</v>
      </c>
      <c r="U126" s="22" t="s">
        <v>47</v>
      </c>
      <c r="V126" s="128">
        <v>4249.1832989039931</v>
      </c>
      <c r="W126" s="128">
        <v>4249.1832989039931</v>
      </c>
      <c r="X126" s="128">
        <v>4773.8045190749917</v>
      </c>
      <c r="Y126" s="127">
        <v>0.3</v>
      </c>
      <c r="Z126" s="127">
        <v>0.3</v>
      </c>
      <c r="AA126" s="128">
        <v>1274.7549896711978</v>
      </c>
      <c r="AB126" s="128">
        <v>1274.7549896711978</v>
      </c>
      <c r="AC126" s="127">
        <v>0.65</v>
      </c>
      <c r="AD126" s="127">
        <v>0.35</v>
      </c>
      <c r="AE126" s="160">
        <v>1274.7549896711978</v>
      </c>
      <c r="AF126" s="164">
        <f>_xlfn.IFNA(INDEX('PGM Values'!$D$9:$D$17,MATCH('Raw Forecasting NPS Data'!$C126,'PGM Values'!$B$9:$B$17,0)),0)</f>
        <v>11542</v>
      </c>
      <c r="AG126" s="129">
        <f>_xlfn.IFNA(INDEX('PGM Values'!$C$9:$C$17,MATCH('Raw Forecasting NPS Data'!$C126,'PGM Values'!$B$9:$B$17,0)),0)</f>
        <v>11542</v>
      </c>
      <c r="AH126" s="129">
        <f t="shared" si="7"/>
        <v>14713222.090784965</v>
      </c>
      <c r="AI126" s="165">
        <f t="shared" si="8"/>
        <v>14713222.090784965</v>
      </c>
    </row>
    <row r="127" spans="3:35" x14ac:dyDescent="0.35">
      <c r="C127" s="180" t="str">
        <f>INDEX('Finance to Brand Mapping'!$D$7:$D$100,MATCH('Raw Forecasting NPS Data'!$I127,'Finance to Brand Mapping'!$C$7:$C$100,0))</f>
        <v>Keytruda</v>
      </c>
      <c r="D127" s="138" t="s">
        <v>229</v>
      </c>
      <c r="E127" s="22" t="s">
        <v>43</v>
      </c>
      <c r="F127" s="22" t="s">
        <v>24</v>
      </c>
      <c r="G127" s="22" t="s">
        <v>25</v>
      </c>
      <c r="H127" s="22" t="s">
        <v>266</v>
      </c>
      <c r="I127" s="22" t="s">
        <v>258</v>
      </c>
      <c r="J127" s="22" t="s">
        <v>28</v>
      </c>
      <c r="K127" s="125">
        <v>392.98459200000002</v>
      </c>
      <c r="L127" s="125">
        <v>392.98459200000002</v>
      </c>
      <c r="M127" s="125">
        <v>392.98459200000002</v>
      </c>
      <c r="N127" s="125">
        <v>322.942971</v>
      </c>
      <c r="O127" s="125">
        <v>242.372874</v>
      </c>
      <c r="P127" s="125">
        <v>7.0952000000000002</v>
      </c>
      <c r="Q127" s="126">
        <v>43101</v>
      </c>
      <c r="R127" s="22" t="s">
        <v>267</v>
      </c>
      <c r="S127" s="22" t="s">
        <v>41</v>
      </c>
      <c r="T127" s="22" t="s">
        <v>57</v>
      </c>
      <c r="U127" s="22" t="s">
        <v>47</v>
      </c>
      <c r="V127" s="128">
        <v>2788.3042771584001</v>
      </c>
      <c r="W127" s="128">
        <v>2788.3042771584001</v>
      </c>
      <c r="X127" s="128">
        <v>2291.3449678391999</v>
      </c>
      <c r="Y127" s="127">
        <v>0.3</v>
      </c>
      <c r="Z127" s="127">
        <v>0.3</v>
      </c>
      <c r="AA127" s="128">
        <v>836.49128314751999</v>
      </c>
      <c r="AB127" s="128">
        <v>836.49128314751999</v>
      </c>
      <c r="AC127" s="127">
        <v>0.65</v>
      </c>
      <c r="AD127" s="127">
        <v>0.35</v>
      </c>
      <c r="AE127" s="160">
        <v>836.49128314751999</v>
      </c>
      <c r="AF127" s="164">
        <f>_xlfn.IFNA(INDEX('PGM Values'!$D$9:$D$17,MATCH('Raw Forecasting NPS Data'!$C127,'PGM Values'!$B$9:$B$17,0)),0)</f>
        <v>11542</v>
      </c>
      <c r="AG127" s="129">
        <f>_xlfn.IFNA(INDEX('PGM Values'!$C$9:$C$17,MATCH('Raw Forecasting NPS Data'!$C127,'PGM Values'!$B$9:$B$17,0)),0)</f>
        <v>11542</v>
      </c>
      <c r="AH127" s="129">
        <f t="shared" si="7"/>
        <v>9654782.3900886755</v>
      </c>
      <c r="AI127" s="165">
        <f t="shared" si="8"/>
        <v>9654782.3900886755</v>
      </c>
    </row>
    <row r="128" spans="3:35" x14ac:dyDescent="0.35">
      <c r="C128" s="180" t="str">
        <f>INDEX('Finance to Brand Mapping'!$D$7:$D$100,MATCH('Raw Forecasting NPS Data'!$I128,'Finance to Brand Mapping'!$C$7:$C$100,0))</f>
        <v>Keytruda</v>
      </c>
      <c r="D128" s="138" t="s">
        <v>229</v>
      </c>
      <c r="E128" s="22" t="s">
        <v>43</v>
      </c>
      <c r="F128" s="22" t="s">
        <v>44</v>
      </c>
      <c r="G128" s="22" t="s">
        <v>231</v>
      </c>
      <c r="H128" s="22" t="s">
        <v>268</v>
      </c>
      <c r="I128" s="22" t="s">
        <v>269</v>
      </c>
      <c r="J128" s="22" t="s">
        <v>28</v>
      </c>
      <c r="K128" s="125">
        <v>1319.6874720000003</v>
      </c>
      <c r="L128" s="125">
        <v>1319.6874720000003</v>
      </c>
      <c r="M128" s="125">
        <v>1319.6874720000003</v>
      </c>
      <c r="N128" s="125">
        <v>1232.162883</v>
      </c>
      <c r="O128" s="125">
        <v>1074.8641270000003</v>
      </c>
      <c r="P128" s="125">
        <v>6.8216999999999901</v>
      </c>
      <c r="Q128" s="126">
        <v>43101</v>
      </c>
      <c r="R128" s="22" t="s">
        <v>270</v>
      </c>
      <c r="S128" s="22" t="s">
        <v>41</v>
      </c>
      <c r="T128" s="22" t="s">
        <v>57</v>
      </c>
      <c r="U128" s="22" t="s">
        <v>47</v>
      </c>
      <c r="V128" s="128">
        <v>9002.5120277423885</v>
      </c>
      <c r="W128" s="128">
        <v>9002.5120277423885</v>
      </c>
      <c r="X128" s="128">
        <v>8405.4455389610885</v>
      </c>
      <c r="Y128" s="127">
        <v>0.3</v>
      </c>
      <c r="Z128" s="127">
        <v>0.3</v>
      </c>
      <c r="AA128" s="128">
        <v>2700.7536083227164</v>
      </c>
      <c r="AB128" s="128">
        <v>2700.7536083227164</v>
      </c>
      <c r="AC128" s="127">
        <v>0.65</v>
      </c>
      <c r="AD128" s="127">
        <v>0.35</v>
      </c>
      <c r="AE128" s="160">
        <v>2700.7536083227164</v>
      </c>
      <c r="AF128" s="164">
        <f>_xlfn.IFNA(INDEX('PGM Values'!$D$9:$D$17,MATCH('Raw Forecasting NPS Data'!$C128,'PGM Values'!$B$9:$B$17,0)),0)</f>
        <v>11542</v>
      </c>
      <c r="AG128" s="129">
        <f>_xlfn.IFNA(INDEX('PGM Values'!$C$9:$C$17,MATCH('Raw Forecasting NPS Data'!$C128,'PGM Values'!$B$9:$B$17,0)),0)</f>
        <v>11542</v>
      </c>
      <c r="AH128" s="129">
        <f t="shared" si="7"/>
        <v>31172098.147260793</v>
      </c>
      <c r="AI128" s="165">
        <f t="shared" si="8"/>
        <v>31172098.147260793</v>
      </c>
    </row>
    <row r="129" spans="3:35" x14ac:dyDescent="0.35">
      <c r="C129" s="180" t="str">
        <f>INDEX('Finance to Brand Mapping'!$D$7:$D$100,MATCH('Raw Forecasting NPS Data'!$I129,'Finance to Brand Mapping'!$C$7:$C$100,0))</f>
        <v>Keytruda</v>
      </c>
      <c r="D129" s="138" t="s">
        <v>229</v>
      </c>
      <c r="E129" s="22" t="s">
        <v>43</v>
      </c>
      <c r="F129" s="22" t="s">
        <v>44</v>
      </c>
      <c r="G129" s="22" t="s">
        <v>235</v>
      </c>
      <c r="H129" s="22" t="s">
        <v>268</v>
      </c>
      <c r="I129" s="22" t="s">
        <v>269</v>
      </c>
      <c r="J129" s="22" t="s">
        <v>28</v>
      </c>
      <c r="K129" s="125">
        <v>2566.4563320000002</v>
      </c>
      <c r="L129" s="125">
        <v>2566.4563320000002</v>
      </c>
      <c r="M129" s="125">
        <v>2566.4563320000002</v>
      </c>
      <c r="N129" s="125">
        <v>2396.243281</v>
      </c>
      <c r="O129" s="125">
        <v>2090.3372289999998</v>
      </c>
      <c r="P129" s="125">
        <v>9.2363999999999908</v>
      </c>
      <c r="Q129" s="126">
        <v>43101</v>
      </c>
      <c r="R129" s="22" t="s">
        <v>270</v>
      </c>
      <c r="S129" s="22" t="s">
        <v>41</v>
      </c>
      <c r="T129" s="22" t="s">
        <v>57</v>
      </c>
      <c r="U129" s="22" t="s">
        <v>47</v>
      </c>
      <c r="V129" s="128">
        <v>23704.817264884779</v>
      </c>
      <c r="W129" s="128">
        <v>23704.817264884779</v>
      </c>
      <c r="X129" s="128">
        <v>22132.661440628377</v>
      </c>
      <c r="Y129" s="127">
        <v>0.3</v>
      </c>
      <c r="Z129" s="127">
        <v>0.3</v>
      </c>
      <c r="AA129" s="128">
        <v>7111.4451794654333</v>
      </c>
      <c r="AB129" s="128">
        <v>7111.4451794654333</v>
      </c>
      <c r="AC129" s="127">
        <v>0.65</v>
      </c>
      <c r="AD129" s="127">
        <v>0.35</v>
      </c>
      <c r="AE129" s="160">
        <v>7111.4451794654342</v>
      </c>
      <c r="AF129" s="164">
        <f>_xlfn.IFNA(INDEX('PGM Values'!$D$9:$D$17,MATCH('Raw Forecasting NPS Data'!$C129,'PGM Values'!$B$9:$B$17,0)),0)</f>
        <v>11542</v>
      </c>
      <c r="AG129" s="129">
        <f>_xlfn.IFNA(INDEX('PGM Values'!$C$9:$C$17,MATCH('Raw Forecasting NPS Data'!$C129,'PGM Values'!$B$9:$B$17,0)),0)</f>
        <v>11542</v>
      </c>
      <c r="AH129" s="129">
        <f t="shared" si="7"/>
        <v>82080300.261390045</v>
      </c>
      <c r="AI129" s="165">
        <f t="shared" si="8"/>
        <v>82080300.261390045</v>
      </c>
    </row>
    <row r="130" spans="3:35" x14ac:dyDescent="0.35">
      <c r="C130" s="180" t="str">
        <f>INDEX('Finance to Brand Mapping'!$D$7:$D$100,MATCH('Raw Forecasting NPS Data'!$I130,'Finance to Brand Mapping'!$C$7:$C$100,0))</f>
        <v>Keytruda</v>
      </c>
      <c r="D130" s="138" t="s">
        <v>229</v>
      </c>
      <c r="E130" s="22" t="s">
        <v>43</v>
      </c>
      <c r="F130" s="22" t="s">
        <v>44</v>
      </c>
      <c r="G130" s="22" t="s">
        <v>236</v>
      </c>
      <c r="H130" s="22" t="s">
        <v>268</v>
      </c>
      <c r="I130" s="22" t="s">
        <v>269</v>
      </c>
      <c r="J130" s="22" t="s">
        <v>28</v>
      </c>
      <c r="K130" s="125">
        <v>2062.2128879999996</v>
      </c>
      <c r="L130" s="125">
        <v>2062.2128879999996</v>
      </c>
      <c r="M130" s="125">
        <v>2062.2128879999996</v>
      </c>
      <c r="N130" s="125">
        <v>1925.442376</v>
      </c>
      <c r="O130" s="125">
        <v>1679.639089</v>
      </c>
      <c r="P130" s="125">
        <v>7.5213999999999999</v>
      </c>
      <c r="Q130" s="126">
        <v>43101</v>
      </c>
      <c r="R130" s="22" t="s">
        <v>270</v>
      </c>
      <c r="S130" s="22" t="s">
        <v>41</v>
      </c>
      <c r="T130" s="22" t="s">
        <v>57</v>
      </c>
      <c r="U130" s="22" t="s">
        <v>47</v>
      </c>
      <c r="V130" s="128">
        <v>15510.728015803197</v>
      </c>
      <c r="W130" s="128">
        <v>15510.728015803197</v>
      </c>
      <c r="X130" s="128">
        <v>14482.022286846399</v>
      </c>
      <c r="Y130" s="127">
        <v>0.3</v>
      </c>
      <c r="Z130" s="127">
        <v>0.3</v>
      </c>
      <c r="AA130" s="128">
        <v>4653.2184047409592</v>
      </c>
      <c r="AB130" s="128">
        <v>4653.2184047409592</v>
      </c>
      <c r="AC130" s="127">
        <v>0.65</v>
      </c>
      <c r="AD130" s="127">
        <v>0.35</v>
      </c>
      <c r="AE130" s="160">
        <v>4653.2184047409592</v>
      </c>
      <c r="AF130" s="164">
        <f>_xlfn.IFNA(INDEX('PGM Values'!$D$9:$D$17,MATCH('Raw Forecasting NPS Data'!$C130,'PGM Values'!$B$9:$B$17,0)),0)</f>
        <v>11542</v>
      </c>
      <c r="AG130" s="129">
        <f>_xlfn.IFNA(INDEX('PGM Values'!$C$9:$C$17,MATCH('Raw Forecasting NPS Data'!$C130,'PGM Values'!$B$9:$B$17,0)),0)</f>
        <v>11542</v>
      </c>
      <c r="AH130" s="129">
        <f t="shared" si="7"/>
        <v>53707446.827520147</v>
      </c>
      <c r="AI130" s="165">
        <f t="shared" si="8"/>
        <v>53707446.827520147</v>
      </c>
    </row>
    <row r="131" spans="3:35" x14ac:dyDescent="0.35">
      <c r="C131" s="180" t="str">
        <f>INDEX('Finance to Brand Mapping'!$D$7:$D$100,MATCH('Raw Forecasting NPS Data'!$I131,'Finance to Brand Mapping'!$C$7:$C$100,0))</f>
        <v>Keytruda</v>
      </c>
      <c r="D131" s="138" t="s">
        <v>229</v>
      </c>
      <c r="E131" s="22" t="s">
        <v>43</v>
      </c>
      <c r="F131" s="22" t="s">
        <v>44</v>
      </c>
      <c r="G131" s="22" t="s">
        <v>25</v>
      </c>
      <c r="H131" s="22" t="s">
        <v>268</v>
      </c>
      <c r="I131" s="22" t="s">
        <v>269</v>
      </c>
      <c r="J131" s="22" t="s">
        <v>28</v>
      </c>
      <c r="K131" s="125">
        <v>1099.453536</v>
      </c>
      <c r="L131" s="125">
        <v>1099.453536</v>
      </c>
      <c r="M131" s="125">
        <v>1099.453536</v>
      </c>
      <c r="N131" s="125">
        <v>1026.535347</v>
      </c>
      <c r="O131" s="125">
        <v>895.48714300000006</v>
      </c>
      <c r="P131" s="125">
        <v>7.2565999999999997</v>
      </c>
      <c r="Q131" s="126">
        <v>43101</v>
      </c>
      <c r="R131" s="22" t="s">
        <v>270</v>
      </c>
      <c r="S131" s="22" t="s">
        <v>41</v>
      </c>
      <c r="T131" s="22" t="s">
        <v>57</v>
      </c>
      <c r="U131" s="22" t="s">
        <v>47</v>
      </c>
      <c r="V131" s="128">
        <v>7978.2945293375997</v>
      </c>
      <c r="W131" s="128">
        <v>7978.2945293375997</v>
      </c>
      <c r="X131" s="128">
        <v>7449.1563990402001</v>
      </c>
      <c r="Y131" s="127">
        <v>0.3</v>
      </c>
      <c r="Z131" s="127">
        <v>0.3</v>
      </c>
      <c r="AA131" s="128">
        <v>2393.4883588012799</v>
      </c>
      <c r="AB131" s="128">
        <v>2393.4883588012799</v>
      </c>
      <c r="AC131" s="127">
        <v>0.65</v>
      </c>
      <c r="AD131" s="127">
        <v>0.35</v>
      </c>
      <c r="AE131" s="160">
        <v>2393.4883588012799</v>
      </c>
      <c r="AF131" s="164">
        <f>_xlfn.IFNA(INDEX('PGM Values'!$D$9:$D$17,MATCH('Raw Forecasting NPS Data'!$C131,'PGM Values'!$B$9:$B$17,0)),0)</f>
        <v>11542</v>
      </c>
      <c r="AG131" s="129">
        <f>_xlfn.IFNA(INDEX('PGM Values'!$C$9:$C$17,MATCH('Raw Forecasting NPS Data'!$C131,'PGM Values'!$B$9:$B$17,0)),0)</f>
        <v>11542</v>
      </c>
      <c r="AH131" s="129">
        <f t="shared" si="7"/>
        <v>27625642.637284372</v>
      </c>
      <c r="AI131" s="165">
        <f t="shared" si="8"/>
        <v>27625642.637284372</v>
      </c>
    </row>
    <row r="132" spans="3:35" x14ac:dyDescent="0.35">
      <c r="C132" s="180" t="str">
        <f>INDEX('Finance to Brand Mapping'!$D$7:$D$100,MATCH('Raw Forecasting NPS Data'!$I132,'Finance to Brand Mapping'!$C$7:$C$100,0))</f>
        <v>Keytruda</v>
      </c>
      <c r="D132" s="138" t="s">
        <v>229</v>
      </c>
      <c r="E132" s="22" t="s">
        <v>43</v>
      </c>
      <c r="F132" s="22" t="s">
        <v>44</v>
      </c>
      <c r="G132" s="22" t="s">
        <v>231</v>
      </c>
      <c r="H132" s="22" t="s">
        <v>268</v>
      </c>
      <c r="I132" s="22" t="s">
        <v>269</v>
      </c>
      <c r="J132" s="22" t="s">
        <v>28</v>
      </c>
      <c r="K132" s="125">
        <v>446.14895999999999</v>
      </c>
      <c r="L132" s="125">
        <v>446.14895999999999</v>
      </c>
      <c r="M132" s="125">
        <v>446.14895999999999</v>
      </c>
      <c r="N132" s="125">
        <v>416.55937700000004</v>
      </c>
      <c r="O132" s="125">
        <v>363.381123</v>
      </c>
      <c r="P132" s="125">
        <v>6.8216999999999901</v>
      </c>
      <c r="Q132" s="126">
        <v>43101</v>
      </c>
      <c r="R132" s="22" t="s">
        <v>270</v>
      </c>
      <c r="S132" s="22" t="s">
        <v>41</v>
      </c>
      <c r="T132" s="22" t="s">
        <v>57</v>
      </c>
      <c r="U132" s="22" t="s">
        <v>47</v>
      </c>
      <c r="V132" s="128">
        <v>3043.4943604319956</v>
      </c>
      <c r="W132" s="128">
        <v>3043.4943604319956</v>
      </c>
      <c r="X132" s="128">
        <v>2841.6431020808964</v>
      </c>
      <c r="Y132" s="127">
        <v>0.3</v>
      </c>
      <c r="Z132" s="127">
        <v>0.3</v>
      </c>
      <c r="AA132" s="128">
        <v>913.04830812959869</v>
      </c>
      <c r="AB132" s="128">
        <v>913.04830812959869</v>
      </c>
      <c r="AC132" s="127">
        <v>0.65</v>
      </c>
      <c r="AD132" s="127">
        <v>0.35</v>
      </c>
      <c r="AE132" s="160">
        <v>913.04830812959869</v>
      </c>
      <c r="AF132" s="164">
        <f>_xlfn.IFNA(INDEX('PGM Values'!$D$9:$D$17,MATCH('Raw Forecasting NPS Data'!$C132,'PGM Values'!$B$9:$B$17,0)),0)</f>
        <v>11542</v>
      </c>
      <c r="AG132" s="129">
        <f>_xlfn.IFNA(INDEX('PGM Values'!$C$9:$C$17,MATCH('Raw Forecasting NPS Data'!$C132,'PGM Values'!$B$9:$B$17,0)),0)</f>
        <v>11542</v>
      </c>
      <c r="AH132" s="129">
        <f t="shared" si="7"/>
        <v>10538403.572431829</v>
      </c>
      <c r="AI132" s="165">
        <f t="shared" si="8"/>
        <v>10538403.572431829</v>
      </c>
    </row>
    <row r="133" spans="3:35" x14ac:dyDescent="0.35">
      <c r="C133" s="180" t="str">
        <f>INDEX('Finance to Brand Mapping'!$D$7:$D$100,MATCH('Raw Forecasting NPS Data'!$I133,'Finance to Brand Mapping'!$C$7:$C$100,0))</f>
        <v>Keytruda</v>
      </c>
      <c r="D133" s="138" t="s">
        <v>229</v>
      </c>
      <c r="E133" s="22" t="s">
        <v>43</v>
      </c>
      <c r="F133" s="22" t="s">
        <v>44</v>
      </c>
      <c r="G133" s="22" t="s">
        <v>235</v>
      </c>
      <c r="H133" s="22" t="s">
        <v>268</v>
      </c>
      <c r="I133" s="22" t="s">
        <v>269</v>
      </c>
      <c r="J133" s="22" t="s">
        <v>28</v>
      </c>
      <c r="K133" s="125">
        <v>733.49490000000014</v>
      </c>
      <c r="L133" s="125">
        <v>733.49490000000014</v>
      </c>
      <c r="M133" s="125">
        <v>733.49490000000014</v>
      </c>
      <c r="N133" s="125">
        <v>684.84789799999999</v>
      </c>
      <c r="O133" s="125">
        <v>597.41974700000003</v>
      </c>
      <c r="P133" s="125">
        <v>9.2363999999999908</v>
      </c>
      <c r="Q133" s="126">
        <v>43101</v>
      </c>
      <c r="R133" s="22" t="s">
        <v>270</v>
      </c>
      <c r="S133" s="22" t="s">
        <v>41</v>
      </c>
      <c r="T133" s="22" t="s">
        <v>57</v>
      </c>
      <c r="U133" s="22" t="s">
        <v>47</v>
      </c>
      <c r="V133" s="128">
        <v>6774.8522943599946</v>
      </c>
      <c r="W133" s="128">
        <v>6774.8522943599946</v>
      </c>
      <c r="X133" s="128">
        <v>6325.5291250871933</v>
      </c>
      <c r="Y133" s="127">
        <v>0.3</v>
      </c>
      <c r="Z133" s="127">
        <v>0.3</v>
      </c>
      <c r="AA133" s="128">
        <v>2032.4556883079983</v>
      </c>
      <c r="AB133" s="128">
        <v>2032.4556883079983</v>
      </c>
      <c r="AC133" s="127">
        <v>0.65</v>
      </c>
      <c r="AD133" s="127">
        <v>0.35</v>
      </c>
      <c r="AE133" s="160">
        <v>2032.4556883079981</v>
      </c>
      <c r="AF133" s="164">
        <f>_xlfn.IFNA(INDEX('PGM Values'!$D$9:$D$17,MATCH('Raw Forecasting NPS Data'!$C133,'PGM Values'!$B$9:$B$17,0)),0)</f>
        <v>11542</v>
      </c>
      <c r="AG133" s="129">
        <f>_xlfn.IFNA(INDEX('PGM Values'!$C$9:$C$17,MATCH('Raw Forecasting NPS Data'!$C133,'PGM Values'!$B$9:$B$17,0)),0)</f>
        <v>11542</v>
      </c>
      <c r="AH133" s="129">
        <f t="shared" si="7"/>
        <v>23458603.554450914</v>
      </c>
      <c r="AI133" s="165">
        <f t="shared" si="8"/>
        <v>23458603.554450914</v>
      </c>
    </row>
    <row r="134" spans="3:35" x14ac:dyDescent="0.35">
      <c r="C134" s="180" t="str">
        <f>INDEX('Finance to Brand Mapping'!$D$7:$D$100,MATCH('Raw Forecasting NPS Data'!$I134,'Finance to Brand Mapping'!$C$7:$C$100,0))</f>
        <v>Keytruda</v>
      </c>
      <c r="D134" s="138" t="s">
        <v>229</v>
      </c>
      <c r="E134" s="22" t="s">
        <v>43</v>
      </c>
      <c r="F134" s="22" t="s">
        <v>44</v>
      </c>
      <c r="G134" s="22" t="s">
        <v>236</v>
      </c>
      <c r="H134" s="22" t="s">
        <v>268</v>
      </c>
      <c r="I134" s="22" t="s">
        <v>269</v>
      </c>
      <c r="J134" s="22" t="s">
        <v>28</v>
      </c>
      <c r="K134" s="125">
        <v>901.89280800000006</v>
      </c>
      <c r="L134" s="125">
        <v>901.89280800000006</v>
      </c>
      <c r="M134" s="125">
        <v>901.89280800000006</v>
      </c>
      <c r="N134" s="125">
        <v>842.07728500000007</v>
      </c>
      <c r="O134" s="125">
        <v>734.57712300000003</v>
      </c>
      <c r="P134" s="125">
        <v>7.5213999999999999</v>
      </c>
      <c r="Q134" s="126">
        <v>43101</v>
      </c>
      <c r="R134" s="22" t="s">
        <v>270</v>
      </c>
      <c r="S134" s="22" t="s">
        <v>41</v>
      </c>
      <c r="T134" s="22" t="s">
        <v>57</v>
      </c>
      <c r="U134" s="22" t="s">
        <v>47</v>
      </c>
      <c r="V134" s="128">
        <v>6783.4965660912003</v>
      </c>
      <c r="W134" s="128">
        <v>6783.4965660912003</v>
      </c>
      <c r="X134" s="128">
        <v>6333.6000913990001</v>
      </c>
      <c r="Y134" s="127">
        <v>0.3</v>
      </c>
      <c r="Z134" s="127">
        <v>0.3</v>
      </c>
      <c r="AA134" s="128">
        <v>2035.04896982736</v>
      </c>
      <c r="AB134" s="128">
        <v>2035.04896982736</v>
      </c>
      <c r="AC134" s="127">
        <v>0.65</v>
      </c>
      <c r="AD134" s="127">
        <v>0.35</v>
      </c>
      <c r="AE134" s="160">
        <v>2035.04896982736</v>
      </c>
      <c r="AF134" s="164">
        <f>_xlfn.IFNA(INDEX('PGM Values'!$D$9:$D$17,MATCH('Raw Forecasting NPS Data'!$C134,'PGM Values'!$B$9:$B$17,0)),0)</f>
        <v>11542</v>
      </c>
      <c r="AG134" s="129">
        <f>_xlfn.IFNA(INDEX('PGM Values'!$C$9:$C$17,MATCH('Raw Forecasting NPS Data'!$C134,'PGM Values'!$B$9:$B$17,0)),0)</f>
        <v>11542</v>
      </c>
      <c r="AH134" s="129">
        <f t="shared" si="7"/>
        <v>23488535.209747389</v>
      </c>
      <c r="AI134" s="165">
        <f t="shared" si="8"/>
        <v>23488535.209747389</v>
      </c>
    </row>
    <row r="135" spans="3:35" x14ac:dyDescent="0.35">
      <c r="C135" s="180" t="str">
        <f>INDEX('Finance to Brand Mapping'!$D$7:$D$100,MATCH('Raw Forecasting NPS Data'!$I135,'Finance to Brand Mapping'!$C$7:$C$100,0))</f>
        <v>Keytruda</v>
      </c>
      <c r="D135" s="138" t="s">
        <v>229</v>
      </c>
      <c r="E135" s="22" t="s">
        <v>43</v>
      </c>
      <c r="F135" s="22" t="s">
        <v>44</v>
      </c>
      <c r="G135" s="22" t="s">
        <v>25</v>
      </c>
      <c r="H135" s="22" t="s">
        <v>268</v>
      </c>
      <c r="I135" s="22" t="s">
        <v>269</v>
      </c>
      <c r="J135" s="22" t="s">
        <v>28</v>
      </c>
      <c r="K135" s="125">
        <v>545.71755600000017</v>
      </c>
      <c r="L135" s="125">
        <v>545.71755600000017</v>
      </c>
      <c r="M135" s="125">
        <v>545.71755600000017</v>
      </c>
      <c r="N135" s="125">
        <v>509.52436499999999</v>
      </c>
      <c r="O135" s="125">
        <v>444.478137</v>
      </c>
      <c r="P135" s="125">
        <v>7.2565999999999997</v>
      </c>
      <c r="Q135" s="126">
        <v>43101</v>
      </c>
      <c r="R135" s="22" t="s">
        <v>270</v>
      </c>
      <c r="S135" s="22" t="s">
        <v>41</v>
      </c>
      <c r="T135" s="22" t="s">
        <v>57</v>
      </c>
      <c r="U135" s="22" t="s">
        <v>47</v>
      </c>
      <c r="V135" s="128">
        <v>3960.0540168696011</v>
      </c>
      <c r="W135" s="128">
        <v>3960.0540168696011</v>
      </c>
      <c r="X135" s="128">
        <v>3697.4145070589998</v>
      </c>
      <c r="Y135" s="127">
        <v>0.3</v>
      </c>
      <c r="Z135" s="127">
        <v>0.3</v>
      </c>
      <c r="AA135" s="128">
        <v>1188.0162050608803</v>
      </c>
      <c r="AB135" s="128">
        <v>1188.0162050608803</v>
      </c>
      <c r="AC135" s="127">
        <v>0.65</v>
      </c>
      <c r="AD135" s="127">
        <v>0.35</v>
      </c>
      <c r="AE135" s="160">
        <v>1188.0162050608803</v>
      </c>
      <c r="AF135" s="164">
        <f>_xlfn.IFNA(INDEX('PGM Values'!$D$9:$D$17,MATCH('Raw Forecasting NPS Data'!$C135,'PGM Values'!$B$9:$B$17,0)),0)</f>
        <v>11542</v>
      </c>
      <c r="AG135" s="129">
        <f>_xlfn.IFNA(INDEX('PGM Values'!$C$9:$C$17,MATCH('Raw Forecasting NPS Data'!$C135,'PGM Values'!$B$9:$B$17,0)),0)</f>
        <v>11542</v>
      </c>
      <c r="AH135" s="129">
        <f t="shared" ref="AH135:AH166" si="9">AE135*AF135</f>
        <v>13712083.03881268</v>
      </c>
      <c r="AI135" s="165">
        <f t="shared" ref="AI135:AI166" si="10">AE135*AG135</f>
        <v>13712083.03881268</v>
      </c>
    </row>
    <row r="136" spans="3:35" x14ac:dyDescent="0.35">
      <c r="C136" s="180" t="str">
        <f>INDEX('Finance to Brand Mapping'!$D$7:$D$100,MATCH('Raw Forecasting NPS Data'!$I136,'Finance to Brand Mapping'!$C$7:$C$100,0))</f>
        <v>Keytruda</v>
      </c>
      <c r="D136" s="138" t="s">
        <v>229</v>
      </c>
      <c r="E136" s="22" t="s">
        <v>43</v>
      </c>
      <c r="F136" s="22" t="s">
        <v>81</v>
      </c>
      <c r="G136" s="22" t="s">
        <v>25</v>
      </c>
      <c r="H136" s="22" t="s">
        <v>271</v>
      </c>
      <c r="I136" s="22" t="s">
        <v>272</v>
      </c>
      <c r="J136" s="22" t="s">
        <v>28</v>
      </c>
      <c r="K136" s="125">
        <v>2430.6452039999999</v>
      </c>
      <c r="L136" s="125">
        <v>3398.6438289999996</v>
      </c>
      <c r="M136" s="125">
        <v>3188.0291609999999</v>
      </c>
      <c r="N136" s="125">
        <v>2996.0287760000001</v>
      </c>
      <c r="O136" s="125">
        <v>2622.0769009999999</v>
      </c>
      <c r="P136" s="125">
        <v>8.9600000000000009</v>
      </c>
      <c r="Q136" s="126">
        <v>44950</v>
      </c>
      <c r="R136" s="22" t="s">
        <v>273</v>
      </c>
      <c r="S136" s="22" t="s">
        <v>41</v>
      </c>
      <c r="T136" s="22" t="s">
        <v>79</v>
      </c>
      <c r="U136" s="22" t="s">
        <v>80</v>
      </c>
      <c r="V136" s="128">
        <v>30451.848707839999</v>
      </c>
      <c r="W136" s="128">
        <v>28564.74128256</v>
      </c>
      <c r="X136" s="128">
        <v>26844.417832960004</v>
      </c>
      <c r="Y136" s="127">
        <v>1</v>
      </c>
      <c r="Z136" s="127">
        <v>0.8</v>
      </c>
      <c r="AA136" s="128">
        <v>30451.848707839999</v>
      </c>
      <c r="AB136" s="128">
        <v>22851.793026048003</v>
      </c>
      <c r="AC136" s="127">
        <v>0.65</v>
      </c>
      <c r="AD136" s="127">
        <v>0.35</v>
      </c>
      <c r="AE136" s="160">
        <v>27791.829219212803</v>
      </c>
      <c r="AF136" s="164">
        <f>_xlfn.IFNA(INDEX('PGM Values'!$D$9:$D$17,MATCH('Raw Forecasting NPS Data'!$C136,'PGM Values'!$B$9:$B$17,0)),0)</f>
        <v>11542</v>
      </c>
      <c r="AG136" s="129">
        <f>_xlfn.IFNA(INDEX('PGM Values'!$C$9:$C$17,MATCH('Raw Forecasting NPS Data'!$C136,'PGM Values'!$B$9:$B$17,0)),0)</f>
        <v>11542</v>
      </c>
      <c r="AH136" s="129">
        <f t="shared" si="9"/>
        <v>320773292.84815419</v>
      </c>
      <c r="AI136" s="165">
        <f t="shared" si="10"/>
        <v>320773292.84815419</v>
      </c>
    </row>
    <row r="137" spans="3:35" x14ac:dyDescent="0.35">
      <c r="C137" s="180" t="str">
        <f>INDEX('Finance to Brand Mapping'!$D$7:$D$100,MATCH('Raw Forecasting NPS Data'!$I137,'Finance to Brand Mapping'!$C$7:$C$100,0))</f>
        <v>Keytruda-Lynparza</v>
      </c>
      <c r="D137" s="138" t="s">
        <v>274</v>
      </c>
      <c r="E137" s="22" t="s">
        <v>275</v>
      </c>
      <c r="F137" s="22" t="s">
        <v>24</v>
      </c>
      <c r="G137" s="22" t="s">
        <v>276</v>
      </c>
      <c r="H137" s="22" t="s">
        <v>277</v>
      </c>
      <c r="I137" s="22" t="s">
        <v>278</v>
      </c>
      <c r="J137" s="22" t="s">
        <v>28</v>
      </c>
      <c r="K137" s="125">
        <v>0</v>
      </c>
      <c r="L137" s="125">
        <v>0</v>
      </c>
      <c r="M137" s="125">
        <v>886.908545</v>
      </c>
      <c r="N137" s="125">
        <v>1225.2035139999998</v>
      </c>
      <c r="O137" s="125">
        <v>1095.675661</v>
      </c>
      <c r="P137" s="125">
        <v>13.140632567999999</v>
      </c>
      <c r="Q137" s="126">
        <v>45658</v>
      </c>
      <c r="R137" s="22" t="s">
        <v>279</v>
      </c>
      <c r="S137" s="22">
        <v>25</v>
      </c>
      <c r="T137" s="22" t="s">
        <v>104</v>
      </c>
      <c r="U137" s="22" t="s">
        <v>31</v>
      </c>
      <c r="V137" s="128">
        <v>0</v>
      </c>
      <c r="W137" s="128">
        <v>11654.539311264492</v>
      </c>
      <c r="X137" s="128">
        <v>16099.949198496441</v>
      </c>
      <c r="Y137" s="127">
        <v>1</v>
      </c>
      <c r="Z137" s="127">
        <v>1</v>
      </c>
      <c r="AA137" s="128">
        <v>0</v>
      </c>
      <c r="AB137" s="128">
        <v>11654.539311264492</v>
      </c>
      <c r="AC137" s="127">
        <v>0</v>
      </c>
      <c r="AD137" s="127">
        <v>1</v>
      </c>
      <c r="AE137" s="160">
        <v>11654.539311264492</v>
      </c>
      <c r="AF137" s="164">
        <f>_xlfn.IFNA(INDEX('PGM Values'!$D$9:$D$17,MATCH('Raw Forecasting NPS Data'!$C137,'PGM Values'!$B$9:$B$17,0)),0)</f>
        <v>21183</v>
      </c>
      <c r="AG137" s="129">
        <f>_xlfn.IFNA(INDEX('PGM Values'!$C$9:$C$17,MATCH('Raw Forecasting NPS Data'!$C137,'PGM Values'!$B$9:$B$17,0)),0)</f>
        <v>16362.5</v>
      </c>
      <c r="AH137" s="129">
        <f t="shared" si="9"/>
        <v>246878106.23051575</v>
      </c>
      <c r="AI137" s="165">
        <f t="shared" si="10"/>
        <v>190697399.48056525</v>
      </c>
    </row>
    <row r="138" spans="3:35" x14ac:dyDescent="0.35">
      <c r="C138" s="180" t="str">
        <f>INDEX('Finance to Brand Mapping'!$D$7:$D$100,MATCH('Raw Forecasting NPS Data'!$I138,'Finance to Brand Mapping'!$C$7:$C$100,0))</f>
        <v>Keytruda-Lynparza</v>
      </c>
      <c r="D138" s="138" t="s">
        <v>274</v>
      </c>
      <c r="E138" s="22" t="s">
        <v>275</v>
      </c>
      <c r="F138" s="22" t="s">
        <v>24</v>
      </c>
      <c r="G138" s="22" t="s">
        <v>25</v>
      </c>
      <c r="H138" s="22" t="s">
        <v>277</v>
      </c>
      <c r="I138" s="22" t="s">
        <v>278</v>
      </c>
      <c r="J138" s="22" t="s">
        <v>28</v>
      </c>
      <c r="K138" s="125">
        <v>0</v>
      </c>
      <c r="L138" s="125">
        <v>0</v>
      </c>
      <c r="M138" s="125">
        <v>202.679922</v>
      </c>
      <c r="N138" s="125">
        <v>277.30220499999996</v>
      </c>
      <c r="O138" s="125">
        <v>247.89325800000003</v>
      </c>
      <c r="P138" s="125">
        <v>13.140632567999999</v>
      </c>
      <c r="Q138" s="126">
        <v>45659</v>
      </c>
      <c r="R138" s="22" t="s">
        <v>279</v>
      </c>
      <c r="S138" s="22">
        <v>25</v>
      </c>
      <c r="T138" s="22" t="s">
        <v>104</v>
      </c>
      <c r="U138" s="22" t="s">
        <v>31</v>
      </c>
      <c r="V138" s="128">
        <v>0</v>
      </c>
      <c r="W138" s="128">
        <v>2663.3423839128995</v>
      </c>
      <c r="X138" s="128">
        <v>3643.9263862012117</v>
      </c>
      <c r="Y138" s="127">
        <v>1</v>
      </c>
      <c r="Z138" s="127">
        <v>1</v>
      </c>
      <c r="AA138" s="128">
        <v>0</v>
      </c>
      <c r="AB138" s="128">
        <v>2663.3423839128995</v>
      </c>
      <c r="AC138" s="127">
        <v>0</v>
      </c>
      <c r="AD138" s="127">
        <v>1</v>
      </c>
      <c r="AE138" s="160">
        <v>2663.3423839128995</v>
      </c>
      <c r="AF138" s="164">
        <f>_xlfn.IFNA(INDEX('PGM Values'!$D$9:$D$17,MATCH('Raw Forecasting NPS Data'!$C138,'PGM Values'!$B$9:$B$17,0)),0)</f>
        <v>21183</v>
      </c>
      <c r="AG138" s="129">
        <f>_xlfn.IFNA(INDEX('PGM Values'!$C$9:$C$17,MATCH('Raw Forecasting NPS Data'!$C138,'PGM Values'!$B$9:$B$17,0)),0)</f>
        <v>16362.5</v>
      </c>
      <c r="AH138" s="129">
        <f t="shared" si="9"/>
        <v>56417581.71842695</v>
      </c>
      <c r="AI138" s="165">
        <f t="shared" si="10"/>
        <v>43578939.75677482</v>
      </c>
    </row>
    <row r="139" spans="3:35" x14ac:dyDescent="0.35">
      <c r="C139" s="180" t="str">
        <f>INDEX('Finance to Brand Mapping'!$D$7:$D$100,MATCH('Raw Forecasting NPS Data'!$I139,'Finance to Brand Mapping'!$C$7:$C$100,0))</f>
        <v>Keytruda-Lynparza</v>
      </c>
      <c r="D139" s="138" t="s">
        <v>274</v>
      </c>
      <c r="E139" s="22" t="s">
        <v>280</v>
      </c>
      <c r="F139" s="22" t="s">
        <v>24</v>
      </c>
      <c r="G139" s="22" t="s">
        <v>276</v>
      </c>
      <c r="H139" s="22" t="s">
        <v>281</v>
      </c>
      <c r="I139" s="22" t="s">
        <v>278</v>
      </c>
      <c r="J139" s="22" t="s">
        <v>28</v>
      </c>
      <c r="K139" s="125">
        <v>0</v>
      </c>
      <c r="L139" s="125">
        <v>0</v>
      </c>
      <c r="M139" s="125">
        <v>489.32885399999998</v>
      </c>
      <c r="N139" s="125">
        <v>679.57590400000004</v>
      </c>
      <c r="O139" s="125">
        <v>616.12939300000005</v>
      </c>
      <c r="P139" s="125">
        <v>4.0999999999999996</v>
      </c>
      <c r="Q139" s="126">
        <v>45660</v>
      </c>
      <c r="R139" s="22" t="s">
        <v>279</v>
      </c>
      <c r="S139" s="22">
        <v>25</v>
      </c>
      <c r="T139" s="22" t="s">
        <v>104</v>
      </c>
      <c r="U139" s="22" t="s">
        <v>31</v>
      </c>
      <c r="V139" s="128">
        <v>0</v>
      </c>
      <c r="W139" s="128">
        <v>2006.2483013999997</v>
      </c>
      <c r="X139" s="128">
        <v>2786.2612064</v>
      </c>
      <c r="Y139" s="127">
        <v>1</v>
      </c>
      <c r="Z139" s="127">
        <v>1</v>
      </c>
      <c r="AA139" s="128">
        <v>0</v>
      </c>
      <c r="AB139" s="128">
        <v>2006.2483013999997</v>
      </c>
      <c r="AC139" s="127">
        <v>0</v>
      </c>
      <c r="AD139" s="127">
        <v>1</v>
      </c>
      <c r="AE139" s="160">
        <v>2006.2483013999997</v>
      </c>
      <c r="AF139" s="164">
        <f>_xlfn.IFNA(INDEX('PGM Values'!$D$9:$D$17,MATCH('Raw Forecasting NPS Data'!$C139,'PGM Values'!$B$9:$B$17,0)),0)</f>
        <v>21183</v>
      </c>
      <c r="AG139" s="129">
        <f>_xlfn.IFNA(INDEX('PGM Values'!$C$9:$C$17,MATCH('Raw Forecasting NPS Data'!$C139,'PGM Values'!$B$9:$B$17,0)),0)</f>
        <v>16362.5</v>
      </c>
      <c r="AH139" s="129">
        <f t="shared" si="9"/>
        <v>42498357.768556193</v>
      </c>
      <c r="AI139" s="165">
        <f t="shared" si="10"/>
        <v>32827237.831657495</v>
      </c>
    </row>
    <row r="140" spans="3:35" x14ac:dyDescent="0.35">
      <c r="C140" s="180" t="str">
        <f>INDEX('Finance to Brand Mapping'!$D$7:$D$100,MATCH('Raw Forecasting NPS Data'!$I140,'Finance to Brand Mapping'!$C$7:$C$100,0))</f>
        <v>Keytruda-Lynparza</v>
      </c>
      <c r="D140" s="138" t="s">
        <v>274</v>
      </c>
      <c r="E140" s="22" t="s">
        <v>280</v>
      </c>
      <c r="F140" s="22" t="s">
        <v>24</v>
      </c>
      <c r="G140" s="22" t="s">
        <v>25</v>
      </c>
      <c r="H140" s="22" t="s">
        <v>281</v>
      </c>
      <c r="I140" s="22" t="s">
        <v>278</v>
      </c>
      <c r="J140" s="22" t="s">
        <v>28</v>
      </c>
      <c r="K140" s="125">
        <v>0</v>
      </c>
      <c r="L140" s="125">
        <v>0</v>
      </c>
      <c r="M140" s="125">
        <v>111.82340599999999</v>
      </c>
      <c r="N140" s="125">
        <v>153.80927299999996</v>
      </c>
      <c r="O140" s="125">
        <v>139.39738</v>
      </c>
      <c r="P140" s="125">
        <v>4.0999999999999996</v>
      </c>
      <c r="Q140" s="126">
        <v>45661</v>
      </c>
      <c r="R140" s="22" t="s">
        <v>279</v>
      </c>
      <c r="S140" s="22">
        <v>25</v>
      </c>
      <c r="T140" s="22" t="s">
        <v>104</v>
      </c>
      <c r="U140" s="22" t="s">
        <v>31</v>
      </c>
      <c r="V140" s="128">
        <v>0</v>
      </c>
      <c r="W140" s="128">
        <v>458.47596459999994</v>
      </c>
      <c r="X140" s="128">
        <v>630.61801929999979</v>
      </c>
      <c r="Y140" s="127">
        <v>1</v>
      </c>
      <c r="Z140" s="127">
        <v>1</v>
      </c>
      <c r="AA140" s="128">
        <v>0</v>
      </c>
      <c r="AB140" s="128">
        <v>458.47596459999994</v>
      </c>
      <c r="AC140" s="127">
        <v>0</v>
      </c>
      <c r="AD140" s="127">
        <v>1</v>
      </c>
      <c r="AE140" s="160">
        <v>458.47596459999994</v>
      </c>
      <c r="AF140" s="164">
        <f>_xlfn.IFNA(INDEX('PGM Values'!$D$9:$D$17,MATCH('Raw Forecasting NPS Data'!$C140,'PGM Values'!$B$9:$B$17,0)),0)</f>
        <v>21183</v>
      </c>
      <c r="AG140" s="129">
        <f>_xlfn.IFNA(INDEX('PGM Values'!$C$9:$C$17,MATCH('Raw Forecasting NPS Data'!$C140,'PGM Values'!$B$9:$B$17,0)),0)</f>
        <v>16362.5</v>
      </c>
      <c r="AH140" s="129">
        <f t="shared" si="9"/>
        <v>9711896.3581217993</v>
      </c>
      <c r="AI140" s="165">
        <f t="shared" si="10"/>
        <v>7501812.9707674989</v>
      </c>
    </row>
    <row r="141" spans="3:35" x14ac:dyDescent="0.35">
      <c r="C141" s="180" t="str">
        <f>INDEX('Finance to Brand Mapping'!$D$7:$D$100,MATCH('Raw Forecasting NPS Data'!$I141,'Finance to Brand Mapping'!$C$7:$C$100,0))</f>
        <v>Keytruda-Lynparza</v>
      </c>
      <c r="D141" s="138" t="s">
        <v>274</v>
      </c>
      <c r="E141" s="22" t="s">
        <v>282</v>
      </c>
      <c r="F141" s="22" t="s">
        <v>44</v>
      </c>
      <c r="G141" s="22" t="s">
        <v>283</v>
      </c>
      <c r="H141" s="22" t="s">
        <v>284</v>
      </c>
      <c r="I141" s="22" t="s">
        <v>278</v>
      </c>
      <c r="J141" s="22" t="s">
        <v>28</v>
      </c>
      <c r="K141" s="125">
        <v>0</v>
      </c>
      <c r="L141" s="125">
        <v>0</v>
      </c>
      <c r="M141" s="125">
        <v>96.979577000000006</v>
      </c>
      <c r="N141" s="125">
        <v>176.399968</v>
      </c>
      <c r="O141" s="125">
        <v>164.14786700000002</v>
      </c>
      <c r="P141" s="125">
        <v>13.000010889</v>
      </c>
      <c r="Q141" s="126">
        <v>45662</v>
      </c>
      <c r="R141" s="22" t="s">
        <v>285</v>
      </c>
      <c r="S141" s="22">
        <v>25</v>
      </c>
      <c r="T141" s="22" t="s">
        <v>104</v>
      </c>
      <c r="U141" s="22" t="s">
        <v>31</v>
      </c>
      <c r="V141" s="128">
        <v>0</v>
      </c>
      <c r="W141" s="128">
        <v>1260.735557010614</v>
      </c>
      <c r="X141" s="128">
        <v>2293.2015048192516</v>
      </c>
      <c r="Y141" s="127">
        <v>1</v>
      </c>
      <c r="Z141" s="127">
        <v>1</v>
      </c>
      <c r="AA141" s="128">
        <v>0</v>
      </c>
      <c r="AB141" s="128">
        <v>1260.735557010614</v>
      </c>
      <c r="AC141" s="127">
        <v>0</v>
      </c>
      <c r="AD141" s="127">
        <v>1</v>
      </c>
      <c r="AE141" s="160">
        <v>1260.735557010614</v>
      </c>
      <c r="AF141" s="164">
        <f>_xlfn.IFNA(INDEX('PGM Values'!$D$9:$D$17,MATCH('Raw Forecasting NPS Data'!$C141,'PGM Values'!$B$9:$B$17,0)),0)</f>
        <v>21183</v>
      </c>
      <c r="AG141" s="129">
        <f>_xlfn.IFNA(INDEX('PGM Values'!$C$9:$C$17,MATCH('Raw Forecasting NPS Data'!$C141,'PGM Values'!$B$9:$B$17,0)),0)</f>
        <v>16362.5</v>
      </c>
      <c r="AH141" s="129">
        <f t="shared" si="9"/>
        <v>26706161.304155838</v>
      </c>
      <c r="AI141" s="165">
        <f t="shared" si="10"/>
        <v>20628785.55158617</v>
      </c>
    </row>
    <row r="142" spans="3:35" x14ac:dyDescent="0.35">
      <c r="C142" s="180" t="str">
        <f>INDEX('Finance to Brand Mapping'!$D$7:$D$100,MATCH('Raw Forecasting NPS Data'!$I142,'Finance to Brand Mapping'!$C$7:$C$100,0))</f>
        <v>Keytruda-Lynparza</v>
      </c>
      <c r="D142" s="138" t="s">
        <v>274</v>
      </c>
      <c r="E142" s="22" t="s">
        <v>282</v>
      </c>
      <c r="F142" s="22" t="s">
        <v>44</v>
      </c>
      <c r="G142" s="22" t="s">
        <v>276</v>
      </c>
      <c r="H142" s="22" t="s">
        <v>284</v>
      </c>
      <c r="I142" s="22" t="s">
        <v>278</v>
      </c>
      <c r="J142" s="22" t="s">
        <v>28</v>
      </c>
      <c r="K142" s="125">
        <v>0</v>
      </c>
      <c r="L142" s="125">
        <v>0</v>
      </c>
      <c r="M142" s="125">
        <v>164.39529200000004</v>
      </c>
      <c r="N142" s="125">
        <v>262.11780400000004</v>
      </c>
      <c r="O142" s="125">
        <v>233.58828</v>
      </c>
      <c r="P142" s="125">
        <v>13.000010889</v>
      </c>
      <c r="Q142" s="126">
        <v>45663</v>
      </c>
      <c r="R142" s="22" t="s">
        <v>285</v>
      </c>
      <c r="S142" s="22">
        <v>25</v>
      </c>
      <c r="T142" s="22" t="s">
        <v>104</v>
      </c>
      <c r="U142" s="22" t="s">
        <v>31</v>
      </c>
      <c r="V142" s="128">
        <v>0</v>
      </c>
      <c r="W142" s="128">
        <v>2137.140586100335</v>
      </c>
      <c r="X142" s="128">
        <v>3407.5343062007682</v>
      </c>
      <c r="Y142" s="127">
        <v>1</v>
      </c>
      <c r="Z142" s="127">
        <v>1</v>
      </c>
      <c r="AA142" s="128">
        <v>0</v>
      </c>
      <c r="AB142" s="128">
        <v>2137.140586100335</v>
      </c>
      <c r="AC142" s="127">
        <v>0</v>
      </c>
      <c r="AD142" s="127">
        <v>1</v>
      </c>
      <c r="AE142" s="160">
        <v>2137.140586100335</v>
      </c>
      <c r="AF142" s="164">
        <f>_xlfn.IFNA(INDEX('PGM Values'!$D$9:$D$17,MATCH('Raw Forecasting NPS Data'!$C142,'PGM Values'!$B$9:$B$17,0)),0)</f>
        <v>21183</v>
      </c>
      <c r="AG142" s="129">
        <f>_xlfn.IFNA(INDEX('PGM Values'!$C$9:$C$17,MATCH('Raw Forecasting NPS Data'!$C142,'PGM Values'!$B$9:$B$17,0)),0)</f>
        <v>16362.5</v>
      </c>
      <c r="AH142" s="129">
        <f t="shared" si="9"/>
        <v>45271049.035363398</v>
      </c>
      <c r="AI142" s="165">
        <f t="shared" si="10"/>
        <v>34968962.840066731</v>
      </c>
    </row>
    <row r="143" spans="3:35" x14ac:dyDescent="0.35">
      <c r="C143" s="180" t="str">
        <f>INDEX('Finance to Brand Mapping'!$D$7:$D$100,MATCH('Raw Forecasting NPS Data'!$I143,'Finance to Brand Mapping'!$C$7:$C$100,0))</f>
        <v>Keytruda-Lynparza</v>
      </c>
      <c r="D143" s="138" t="s">
        <v>274</v>
      </c>
      <c r="E143" s="22" t="s">
        <v>282</v>
      </c>
      <c r="F143" s="22" t="s">
        <v>44</v>
      </c>
      <c r="G143" s="22" t="s">
        <v>25</v>
      </c>
      <c r="H143" s="22" t="s">
        <v>284</v>
      </c>
      <c r="I143" s="22" t="s">
        <v>278</v>
      </c>
      <c r="J143" s="22" t="s">
        <v>28</v>
      </c>
      <c r="K143" s="125">
        <v>0</v>
      </c>
      <c r="L143" s="125">
        <v>0</v>
      </c>
      <c r="M143" s="125">
        <v>140.150476</v>
      </c>
      <c r="N143" s="125">
        <v>86.841848999999996</v>
      </c>
      <c r="O143" s="125">
        <v>53.373398999999999</v>
      </c>
      <c r="P143" s="125">
        <v>13.000010889</v>
      </c>
      <c r="Q143" s="126">
        <v>45664</v>
      </c>
      <c r="R143" s="22" t="s">
        <v>285</v>
      </c>
      <c r="S143" s="22">
        <v>25</v>
      </c>
      <c r="T143" s="22" t="s">
        <v>104</v>
      </c>
      <c r="U143" s="22" t="s">
        <v>31</v>
      </c>
      <c r="V143" s="128">
        <v>0</v>
      </c>
      <c r="W143" s="128">
        <v>1821.9577140985332</v>
      </c>
      <c r="X143" s="128">
        <v>1128.9449826208938</v>
      </c>
      <c r="Y143" s="127">
        <v>1</v>
      </c>
      <c r="Z143" s="127">
        <v>1</v>
      </c>
      <c r="AA143" s="128">
        <v>0</v>
      </c>
      <c r="AB143" s="128">
        <v>1821.9577140985332</v>
      </c>
      <c r="AC143" s="127">
        <v>0</v>
      </c>
      <c r="AD143" s="127">
        <v>1</v>
      </c>
      <c r="AE143" s="160">
        <v>1821.9577140985332</v>
      </c>
      <c r="AF143" s="164">
        <f>_xlfn.IFNA(INDEX('PGM Values'!$D$9:$D$17,MATCH('Raw Forecasting NPS Data'!$C143,'PGM Values'!$B$9:$B$17,0)),0)</f>
        <v>21183</v>
      </c>
      <c r="AG143" s="129">
        <f>_xlfn.IFNA(INDEX('PGM Values'!$C$9:$C$17,MATCH('Raw Forecasting NPS Data'!$C143,'PGM Values'!$B$9:$B$17,0)),0)</f>
        <v>16362.5</v>
      </c>
      <c r="AH143" s="129">
        <f t="shared" si="9"/>
        <v>38594530.25774923</v>
      </c>
      <c r="AI143" s="165">
        <f t="shared" si="10"/>
        <v>29811783.09693725</v>
      </c>
    </row>
    <row r="144" spans="3:35" x14ac:dyDescent="0.35">
      <c r="C144" s="180" t="str">
        <f>INDEX('Finance to Brand Mapping'!$D$7:$D$100,MATCH('Raw Forecasting NPS Data'!$I144,'Finance to Brand Mapping'!$C$7:$C$100,0))</f>
        <v>Keytruda</v>
      </c>
      <c r="D144" s="138" t="s">
        <v>286</v>
      </c>
      <c r="E144" s="22" t="s">
        <v>43</v>
      </c>
      <c r="F144" s="22" t="s">
        <v>24</v>
      </c>
      <c r="G144" s="22" t="s">
        <v>25</v>
      </c>
      <c r="H144" s="22" t="s">
        <v>287</v>
      </c>
      <c r="I144" s="22" t="s">
        <v>163</v>
      </c>
      <c r="J144" s="22" t="s">
        <v>28</v>
      </c>
      <c r="K144" s="125">
        <v>72</v>
      </c>
      <c r="L144" s="125">
        <v>72</v>
      </c>
      <c r="M144" s="125">
        <v>72</v>
      </c>
      <c r="N144" s="125">
        <v>72</v>
      </c>
      <c r="O144" s="125">
        <v>72</v>
      </c>
      <c r="P144" s="125">
        <v>10.44</v>
      </c>
      <c r="Q144" s="126">
        <v>43221</v>
      </c>
      <c r="R144" s="22" t="s">
        <v>288</v>
      </c>
      <c r="S144" s="22" t="s">
        <v>41</v>
      </c>
      <c r="T144" s="22" t="s">
        <v>47</v>
      </c>
      <c r="U144" s="22" t="s">
        <v>47</v>
      </c>
      <c r="V144" s="128">
        <v>751.68</v>
      </c>
      <c r="W144" s="128">
        <v>751.68</v>
      </c>
      <c r="X144" s="128">
        <v>751.68</v>
      </c>
      <c r="Y144" s="127">
        <v>0.3</v>
      </c>
      <c r="Z144" s="127">
        <v>0.3</v>
      </c>
      <c r="AA144" s="128">
        <v>225.50399999999999</v>
      </c>
      <c r="AB144" s="128">
        <v>225.50399999999999</v>
      </c>
      <c r="AC144" s="127">
        <v>0.65</v>
      </c>
      <c r="AD144" s="127">
        <v>0.35</v>
      </c>
      <c r="AE144" s="160">
        <v>225.50399999999996</v>
      </c>
      <c r="AF144" s="164">
        <f>_xlfn.IFNA(INDEX('PGM Values'!$D$9:$D$17,MATCH('Raw Forecasting NPS Data'!$C144,'PGM Values'!$B$9:$B$17,0)),0)</f>
        <v>11542</v>
      </c>
      <c r="AG144" s="129">
        <f>_xlfn.IFNA(INDEX('PGM Values'!$C$9:$C$17,MATCH('Raw Forecasting NPS Data'!$C144,'PGM Values'!$B$9:$B$17,0)),0)</f>
        <v>11542</v>
      </c>
      <c r="AH144" s="129">
        <f t="shared" si="9"/>
        <v>2602767.1679999996</v>
      </c>
      <c r="AI144" s="165">
        <f t="shared" si="10"/>
        <v>2602767.1679999996</v>
      </c>
    </row>
    <row r="145" spans="3:35" x14ac:dyDescent="0.35">
      <c r="C145" s="749" t="str">
        <f>INDEX('Finance to Brand Mapping'!$D$7:$D$100,MATCH('Raw Forecasting NPS Data'!$I145,'Finance to Brand Mapping'!$C$7:$C$100,0))</f>
        <v>Keytruda-Lenvima</v>
      </c>
      <c r="D145" s="750" t="s">
        <v>289</v>
      </c>
      <c r="E145" s="751" t="s">
        <v>84</v>
      </c>
      <c r="F145" s="751" t="s">
        <v>24</v>
      </c>
      <c r="G145" s="751" t="s">
        <v>25</v>
      </c>
      <c r="H145" s="751" t="s">
        <v>290</v>
      </c>
      <c r="I145" s="751" t="s">
        <v>291</v>
      </c>
      <c r="J145" s="751" t="s">
        <v>28</v>
      </c>
      <c r="K145" s="752">
        <v>2065.157072</v>
      </c>
      <c r="L145" s="752">
        <v>2618.2784210000004</v>
      </c>
      <c r="M145" s="752">
        <v>2696.2982769999999</v>
      </c>
      <c r="N145" s="752">
        <v>2483.4574500000003</v>
      </c>
      <c r="O145" s="752">
        <v>2011.4007409999997</v>
      </c>
      <c r="P145" s="752">
        <v>10.17</v>
      </c>
      <c r="Q145" s="753">
        <v>44418</v>
      </c>
      <c r="R145" s="751" t="s">
        <v>292</v>
      </c>
      <c r="S145" s="751" t="s">
        <v>41</v>
      </c>
      <c r="T145" s="751" t="s">
        <v>42</v>
      </c>
      <c r="U145" s="751" t="s">
        <v>42</v>
      </c>
      <c r="V145" s="754">
        <v>26627.891541570003</v>
      </c>
      <c r="W145" s="754">
        <v>27421.353477089997</v>
      </c>
      <c r="X145" s="754">
        <v>25256.762266500002</v>
      </c>
      <c r="Y145" s="755">
        <v>0.8</v>
      </c>
      <c r="Z145" s="755">
        <v>0.6</v>
      </c>
      <c r="AA145" s="754">
        <v>21302.313233256005</v>
      </c>
      <c r="AB145" s="754">
        <v>16452.812086253998</v>
      </c>
      <c r="AC145" s="755">
        <v>0.65</v>
      </c>
      <c r="AD145" s="755">
        <v>0.35</v>
      </c>
      <c r="AE145" s="756">
        <v>19604.987831805302</v>
      </c>
      <c r="AF145" s="757">
        <f>_xlfn.IFNA(INDEX('PGM Values'!$D$9:$D$17,MATCH('Raw Forecasting NPS Data'!$C145,'PGM Values'!$B$9:$B$17,0)),0)</f>
        <v>26793</v>
      </c>
      <c r="AG145" s="758">
        <f>_xlfn.IFNA(INDEX('PGM Values'!$C$9:$C$17,MATCH('Raw Forecasting NPS Data'!$C145,'PGM Values'!$B$9:$B$17,0)),0)</f>
        <v>19167.5</v>
      </c>
      <c r="AH145" s="758">
        <f t="shared" si="9"/>
        <v>525276438.97755945</v>
      </c>
      <c r="AI145" s="759">
        <f t="shared" si="10"/>
        <v>375778604.26612812</v>
      </c>
    </row>
    <row r="146" spans="3:35" x14ac:dyDescent="0.35">
      <c r="C146" s="749" t="str">
        <f>INDEX('Finance to Brand Mapping'!$D$7:$D$100,MATCH('Raw Forecasting NPS Data'!$I146,'Finance to Brand Mapping'!$C$7:$C$100,0))</f>
        <v>Keytruda-Lenvima</v>
      </c>
      <c r="D146" s="750" t="s">
        <v>289</v>
      </c>
      <c r="E146" s="751" t="s">
        <v>84</v>
      </c>
      <c r="F146" s="751">
        <v>2</v>
      </c>
      <c r="G146" s="751" t="s">
        <v>25</v>
      </c>
      <c r="H146" s="751" t="s">
        <v>293</v>
      </c>
      <c r="I146" s="751" t="s">
        <v>291</v>
      </c>
      <c r="J146" s="751" t="s">
        <v>28</v>
      </c>
      <c r="K146" s="752">
        <v>326.55261800000005</v>
      </c>
      <c r="L146" s="752">
        <v>285.74633100000005</v>
      </c>
      <c r="M146" s="752">
        <v>270.76275299999998</v>
      </c>
      <c r="N146" s="752">
        <v>219.92464999999999</v>
      </c>
      <c r="O146" s="752">
        <v>172.142482</v>
      </c>
      <c r="P146" s="752">
        <v>12.86</v>
      </c>
      <c r="Q146" s="753">
        <v>44428</v>
      </c>
      <c r="R146" s="751" t="s">
        <v>292</v>
      </c>
      <c r="S146" s="751" t="s">
        <v>41</v>
      </c>
      <c r="T146" s="751" t="s">
        <v>42</v>
      </c>
      <c r="U146" s="751" t="s">
        <v>42</v>
      </c>
      <c r="V146" s="754">
        <v>3674.6978166600006</v>
      </c>
      <c r="W146" s="754">
        <v>3482.0090035799994</v>
      </c>
      <c r="X146" s="754">
        <v>2828.2309989999999</v>
      </c>
      <c r="Y146" s="755">
        <v>0.8</v>
      </c>
      <c r="Z146" s="755">
        <v>0.6</v>
      </c>
      <c r="AA146" s="754">
        <v>2939.7582533280006</v>
      </c>
      <c r="AB146" s="754">
        <v>2089.2054021479994</v>
      </c>
      <c r="AC146" s="755">
        <v>0.65</v>
      </c>
      <c r="AD146" s="755">
        <v>0.35</v>
      </c>
      <c r="AE146" s="756">
        <v>2642.064755415</v>
      </c>
      <c r="AF146" s="757">
        <f>_xlfn.IFNA(INDEX('PGM Values'!$D$9:$D$17,MATCH('Raw Forecasting NPS Data'!$C146,'PGM Values'!$B$9:$B$17,0)),0)</f>
        <v>26793</v>
      </c>
      <c r="AG146" s="758">
        <f>_xlfn.IFNA(INDEX('PGM Values'!$C$9:$C$17,MATCH('Raw Forecasting NPS Data'!$C146,'PGM Values'!$B$9:$B$17,0)),0)</f>
        <v>19167.5</v>
      </c>
      <c r="AH146" s="758">
        <f t="shared" si="9"/>
        <v>70788840.991834089</v>
      </c>
      <c r="AI146" s="759">
        <f t="shared" si="10"/>
        <v>50641776.19941701</v>
      </c>
    </row>
    <row r="147" spans="3:35" x14ac:dyDescent="0.35">
      <c r="C147" s="180" t="str">
        <f>INDEX('Finance to Brand Mapping'!$D$7:$D$100,MATCH('Raw Forecasting NPS Data'!$I147,'Finance to Brand Mapping'!$C$7:$C$100,0))</f>
        <v>Keytruda</v>
      </c>
      <c r="D147" s="138" t="s">
        <v>289</v>
      </c>
      <c r="E147" s="22" t="s">
        <v>43</v>
      </c>
      <c r="F147" s="22" t="s">
        <v>81</v>
      </c>
      <c r="G147" s="22" t="s">
        <v>25</v>
      </c>
      <c r="H147" s="22" t="s">
        <v>294</v>
      </c>
      <c r="I147" s="22" t="s">
        <v>351</v>
      </c>
      <c r="J147" s="22" t="s">
        <v>28</v>
      </c>
      <c r="K147" s="125">
        <v>5220.6623180000006</v>
      </c>
      <c r="L147" s="125">
        <v>5865.0566500000004</v>
      </c>
      <c r="M147" s="125">
        <v>6261.0707719999991</v>
      </c>
      <c r="N147" s="125">
        <v>5832.3219369999997</v>
      </c>
      <c r="O147" s="125">
        <v>4505.9488749999991</v>
      </c>
      <c r="P147" s="125">
        <v>8.9600000000000009</v>
      </c>
      <c r="Q147" s="126">
        <v>44409</v>
      </c>
      <c r="R147" s="22" t="s">
        <v>295</v>
      </c>
      <c r="S147" s="22" t="s">
        <v>41</v>
      </c>
      <c r="T147" s="22" t="s">
        <v>42</v>
      </c>
      <c r="U147" s="22" t="s">
        <v>42</v>
      </c>
      <c r="V147" s="128">
        <v>52550.907584000008</v>
      </c>
      <c r="W147" s="128">
        <v>56099.194117119994</v>
      </c>
      <c r="X147" s="128">
        <v>52257.604555520003</v>
      </c>
      <c r="Y147" s="127">
        <v>0.8</v>
      </c>
      <c r="Z147" s="127">
        <v>0.6</v>
      </c>
      <c r="AA147" s="128">
        <v>42040.726067200012</v>
      </c>
      <c r="AB147" s="128">
        <v>33659.516470271992</v>
      </c>
      <c r="AC147" s="127">
        <v>0.65</v>
      </c>
      <c r="AD147" s="127">
        <v>0.35</v>
      </c>
      <c r="AE147" s="160">
        <v>39107.302708275209</v>
      </c>
      <c r="AF147" s="164">
        <f>_xlfn.IFNA(INDEX('PGM Values'!$D$9:$D$17,MATCH('Raw Forecasting NPS Data'!$C147,'PGM Values'!$B$9:$B$17,0)),0)</f>
        <v>11542</v>
      </c>
      <c r="AG147" s="129">
        <f>_xlfn.IFNA(INDEX('PGM Values'!$C$9:$C$17,MATCH('Raw Forecasting NPS Data'!$C147,'PGM Values'!$B$9:$B$17,0)),0)</f>
        <v>11542</v>
      </c>
      <c r="AH147" s="129">
        <f t="shared" si="9"/>
        <v>451376487.85891247</v>
      </c>
      <c r="AI147" s="165">
        <f t="shared" si="10"/>
        <v>451376487.85891247</v>
      </c>
    </row>
    <row r="148" spans="3:35" x14ac:dyDescent="0.35">
      <c r="C148" s="180" t="str">
        <f>INDEX('Finance to Brand Mapping'!$D$7:$D$100,MATCH('Raw Forecasting NPS Data'!$I148,'Finance to Brand Mapping'!$C$7:$C$100,0))</f>
        <v>Lenvima</v>
      </c>
      <c r="D148" s="138" t="s">
        <v>289</v>
      </c>
      <c r="E148" s="22" t="s">
        <v>296</v>
      </c>
      <c r="F148" s="22" t="s">
        <v>44</v>
      </c>
      <c r="G148" s="22" t="s">
        <v>25</v>
      </c>
      <c r="H148" s="22" t="s">
        <v>297</v>
      </c>
      <c r="I148" s="22" t="s">
        <v>298</v>
      </c>
      <c r="J148" s="22" t="s">
        <v>28</v>
      </c>
      <c r="K148" s="125">
        <v>1192.163166</v>
      </c>
      <c r="L148" s="125">
        <v>1097.4684099999999</v>
      </c>
      <c r="M148" s="125">
        <v>1116.4845700000001</v>
      </c>
      <c r="N148" s="125">
        <v>1002.5336460000001</v>
      </c>
      <c r="O148" s="125">
        <v>975.28807700000004</v>
      </c>
      <c r="P148" s="125">
        <v>7.6199999999999903</v>
      </c>
      <c r="Q148" s="126">
        <v>43101</v>
      </c>
      <c r="R148" s="22" t="s">
        <v>32</v>
      </c>
      <c r="S148" s="22" t="s">
        <v>41</v>
      </c>
      <c r="T148" s="22" t="s">
        <v>57</v>
      </c>
      <c r="U148" s="22" t="s">
        <v>47</v>
      </c>
      <c r="V148" s="128">
        <v>8362.7092841999893</v>
      </c>
      <c r="W148" s="128">
        <v>8507.612423399989</v>
      </c>
      <c r="X148" s="128">
        <v>7639.3063825199906</v>
      </c>
      <c r="Y148" s="127">
        <v>0.3</v>
      </c>
      <c r="Z148" s="127">
        <v>0.3</v>
      </c>
      <c r="AA148" s="128">
        <v>2508.8127852599969</v>
      </c>
      <c r="AB148" s="128">
        <v>2552.2837270199966</v>
      </c>
      <c r="AC148" s="127">
        <v>0.65</v>
      </c>
      <c r="AD148" s="127">
        <v>0.35</v>
      </c>
      <c r="AE148" s="160">
        <v>2524.0276148759967</v>
      </c>
      <c r="AF148" s="164">
        <f>_xlfn.IFNA(INDEX('PGM Values'!$D$9:$D$17,MATCH('Raw Forecasting NPS Data'!$C148,'PGM Values'!$B$9:$B$17,0)),0)</f>
        <v>15251</v>
      </c>
      <c r="AG148" s="129">
        <f>_xlfn.IFNA(INDEX('PGM Values'!$C$9:$C$17,MATCH('Raw Forecasting NPS Data'!$C148,'PGM Values'!$B$9:$B$17,0)),0)</f>
        <v>7625.5</v>
      </c>
      <c r="AH148" s="129">
        <f t="shared" si="9"/>
        <v>38493945.154473826</v>
      </c>
      <c r="AI148" s="165">
        <f t="shared" si="10"/>
        <v>19246972.577236913</v>
      </c>
    </row>
    <row r="149" spans="3:35" x14ac:dyDescent="0.35">
      <c r="C149" s="180" t="str">
        <f>INDEX('Finance to Brand Mapping'!$D$7:$D$100,MATCH('Raw Forecasting NPS Data'!$I149,'Finance to Brand Mapping'!$C$7:$C$100,0))</f>
        <v>Welireg-Lenvima</v>
      </c>
      <c r="D149" s="138" t="s">
        <v>289</v>
      </c>
      <c r="E149" s="22" t="s">
        <v>299</v>
      </c>
      <c r="F149" s="22" t="s">
        <v>44</v>
      </c>
      <c r="G149" s="22" t="s">
        <v>25</v>
      </c>
      <c r="H149" s="22" t="s">
        <v>300</v>
      </c>
      <c r="I149" s="22" t="s">
        <v>301</v>
      </c>
      <c r="J149" s="22" t="s">
        <v>28</v>
      </c>
      <c r="K149" s="125">
        <v>0</v>
      </c>
      <c r="L149" s="125">
        <v>0</v>
      </c>
      <c r="M149" s="125">
        <v>95.261144999999999</v>
      </c>
      <c r="N149" s="125">
        <v>1530.380193</v>
      </c>
      <c r="O149" s="125">
        <v>1871.3719969999997</v>
      </c>
      <c r="P149" s="125">
        <v>8.26</v>
      </c>
      <c r="Q149" s="126">
        <v>45932</v>
      </c>
      <c r="R149" s="22" t="s">
        <v>302</v>
      </c>
      <c r="S149" s="22">
        <v>25</v>
      </c>
      <c r="T149" s="22" t="s">
        <v>104</v>
      </c>
      <c r="U149" s="22" t="s">
        <v>73</v>
      </c>
      <c r="V149" s="128">
        <v>0</v>
      </c>
      <c r="W149" s="128">
        <v>786.85705769999993</v>
      </c>
      <c r="X149" s="128">
        <v>12640.940394179999</v>
      </c>
      <c r="Y149" s="127">
        <v>1</v>
      </c>
      <c r="Z149" s="127">
        <v>1</v>
      </c>
      <c r="AA149" s="128">
        <v>0</v>
      </c>
      <c r="AB149" s="128">
        <v>786.85705769999993</v>
      </c>
      <c r="AC149" s="127">
        <v>0</v>
      </c>
      <c r="AD149" s="127">
        <v>0.7</v>
      </c>
      <c r="AE149" s="160">
        <v>550.79994038999996</v>
      </c>
      <c r="AF149" s="164">
        <f>_xlfn.IFNA(INDEX('PGM Values'!$D$9:$D$17,MATCH('Raw Forecasting NPS Data'!$C149,'PGM Values'!$B$9:$B$17,0)),0)</f>
        <v>40304</v>
      </c>
      <c r="AG149" s="129">
        <f>_xlfn.IFNA(INDEX('PGM Values'!$C$9:$C$17,MATCH('Raw Forecasting NPS Data'!$C149,'PGM Values'!$B$9:$B$17,0)),0)</f>
        <v>32678.5</v>
      </c>
      <c r="AH149" s="129">
        <f t="shared" si="9"/>
        <v>22199440.797478557</v>
      </c>
      <c r="AI149" s="165">
        <f t="shared" si="10"/>
        <v>17999315.852034613</v>
      </c>
    </row>
    <row r="150" spans="3:35" x14ac:dyDescent="0.35">
      <c r="C150" s="180" t="str">
        <f>INDEX('Finance to Brand Mapping'!$D$7:$D$100,MATCH('Raw Forecasting NPS Data'!$I150,'Finance to Brand Mapping'!$C$7:$C$100,0))</f>
        <v>Welireg-Lenvima</v>
      </c>
      <c r="D150" s="138" t="s">
        <v>289</v>
      </c>
      <c r="E150" s="22" t="s">
        <v>299</v>
      </c>
      <c r="F150" s="22" t="s">
        <v>50</v>
      </c>
      <c r="G150" s="22" t="s">
        <v>25</v>
      </c>
      <c r="H150" s="22" t="s">
        <v>303</v>
      </c>
      <c r="I150" s="22" t="s">
        <v>301</v>
      </c>
      <c r="J150" s="22" t="s">
        <v>28</v>
      </c>
      <c r="K150" s="125">
        <v>0</v>
      </c>
      <c r="L150" s="125">
        <v>0</v>
      </c>
      <c r="M150" s="125">
        <v>21.875007</v>
      </c>
      <c r="N150" s="125">
        <v>351.42426399999999</v>
      </c>
      <c r="O150" s="125">
        <v>429.72689500000001</v>
      </c>
      <c r="P150" s="125">
        <v>5.39</v>
      </c>
      <c r="Q150" s="126">
        <v>45932</v>
      </c>
      <c r="R150" s="22" t="s">
        <v>302</v>
      </c>
      <c r="S150" s="22">
        <v>25</v>
      </c>
      <c r="T150" s="22" t="s">
        <v>104</v>
      </c>
      <c r="U150" s="22" t="s">
        <v>73</v>
      </c>
      <c r="V150" s="128">
        <v>0</v>
      </c>
      <c r="W150" s="128">
        <v>117.90628772999999</v>
      </c>
      <c r="X150" s="128">
        <v>1894.1767829599999</v>
      </c>
      <c r="Y150" s="127">
        <v>1</v>
      </c>
      <c r="Z150" s="127">
        <v>1</v>
      </c>
      <c r="AA150" s="128">
        <v>0</v>
      </c>
      <c r="AB150" s="128">
        <v>117.90628772999999</v>
      </c>
      <c r="AC150" s="127">
        <v>0</v>
      </c>
      <c r="AD150" s="127">
        <v>0.7</v>
      </c>
      <c r="AE150" s="160">
        <v>82.53440141099999</v>
      </c>
      <c r="AF150" s="164">
        <f>_xlfn.IFNA(INDEX('PGM Values'!$D$9:$D$17,MATCH('Raw Forecasting NPS Data'!$C150,'PGM Values'!$B$9:$B$17,0)),0)</f>
        <v>40304</v>
      </c>
      <c r="AG150" s="129">
        <f>_xlfn.IFNA(INDEX('PGM Values'!$C$9:$C$17,MATCH('Raw Forecasting NPS Data'!$C150,'PGM Values'!$B$9:$B$17,0)),0)</f>
        <v>32678.5</v>
      </c>
      <c r="AH150" s="129">
        <f t="shared" si="9"/>
        <v>3326466.5144689437</v>
      </c>
      <c r="AI150" s="165">
        <f t="shared" si="10"/>
        <v>2697100.4365093634</v>
      </c>
    </row>
    <row r="151" spans="3:35" x14ac:dyDescent="0.35">
      <c r="C151" s="180" t="str">
        <f>INDEX('Finance to Brand Mapping'!$D$7:$D$100,MATCH('Raw Forecasting NPS Data'!$I151,'Finance to Brand Mapping'!$C$7:$C$100,0))</f>
        <v>Welireg</v>
      </c>
      <c r="D151" s="138" t="s">
        <v>289</v>
      </c>
      <c r="E151" s="22" t="s">
        <v>304</v>
      </c>
      <c r="F151" s="22" t="s">
        <v>44</v>
      </c>
      <c r="G151" s="22" t="s">
        <v>25</v>
      </c>
      <c r="H151" s="22" t="s">
        <v>305</v>
      </c>
      <c r="I151" s="22" t="s">
        <v>306</v>
      </c>
      <c r="J151" s="22" t="s">
        <v>28</v>
      </c>
      <c r="K151" s="125">
        <v>0</v>
      </c>
      <c r="L151" s="125">
        <v>776.75354399999992</v>
      </c>
      <c r="M151" s="125">
        <v>1259.0550040000001</v>
      </c>
      <c r="N151" s="125">
        <v>1274.3670360000001</v>
      </c>
      <c r="O151" s="125">
        <v>1274.9625560000002</v>
      </c>
      <c r="P151" s="125">
        <v>6.2899999999999903</v>
      </c>
      <c r="Q151" s="126">
        <v>45293</v>
      </c>
      <c r="R151" s="22" t="s">
        <v>307</v>
      </c>
      <c r="S151" s="22">
        <v>24</v>
      </c>
      <c r="T151" s="22" t="s">
        <v>30</v>
      </c>
      <c r="U151" s="22" t="s">
        <v>31</v>
      </c>
      <c r="V151" s="128">
        <v>4885.7797917599919</v>
      </c>
      <c r="W151" s="128">
        <v>7919.4559751599882</v>
      </c>
      <c r="X151" s="128">
        <v>8015.7686564399883</v>
      </c>
      <c r="Y151" s="127">
        <v>1</v>
      </c>
      <c r="Z151" s="127">
        <v>1</v>
      </c>
      <c r="AA151" s="128">
        <v>4885.7797917599919</v>
      </c>
      <c r="AB151" s="128">
        <v>7919.4559751599882</v>
      </c>
      <c r="AC151" s="127">
        <v>0.6</v>
      </c>
      <c r="AD151" s="127">
        <v>0.4</v>
      </c>
      <c r="AE151" s="160">
        <v>6099.2502651199902</v>
      </c>
      <c r="AF151" s="164">
        <f>_xlfn.IFNA(INDEX('PGM Values'!$D$9:$D$17,MATCH('Raw Forecasting NPS Data'!$C151,'PGM Values'!$B$9:$B$17,0)),0)</f>
        <v>25053</v>
      </c>
      <c r="AG151" s="129">
        <f>_xlfn.IFNA(INDEX('PGM Values'!$C$9:$C$17,MATCH('Raw Forecasting NPS Data'!$C151,'PGM Values'!$B$9:$B$17,0)),0)</f>
        <v>25053</v>
      </c>
      <c r="AH151" s="129">
        <f t="shared" si="9"/>
        <v>152804516.8920511</v>
      </c>
      <c r="AI151" s="165">
        <f t="shared" si="10"/>
        <v>152804516.8920511</v>
      </c>
    </row>
    <row r="152" spans="3:35" x14ac:dyDescent="0.35">
      <c r="C152" s="180" t="str">
        <f>INDEX('Finance to Brand Mapping'!$D$7:$D$100,MATCH('Raw Forecasting NPS Data'!$I152,'Finance to Brand Mapping'!$C$7:$C$100,0))</f>
        <v>Welireg</v>
      </c>
      <c r="D152" s="138" t="s">
        <v>289</v>
      </c>
      <c r="E152" s="22" t="s">
        <v>304</v>
      </c>
      <c r="F152" s="22" t="s">
        <v>50</v>
      </c>
      <c r="G152" s="22" t="s">
        <v>25</v>
      </c>
      <c r="H152" s="22" t="s">
        <v>308</v>
      </c>
      <c r="I152" s="22" t="s">
        <v>306</v>
      </c>
      <c r="J152" s="22" t="s">
        <v>28</v>
      </c>
      <c r="K152" s="125">
        <v>0</v>
      </c>
      <c r="L152" s="125">
        <v>637.32520599999998</v>
      </c>
      <c r="M152" s="125">
        <v>1159.611279</v>
      </c>
      <c r="N152" s="125">
        <v>1194.096018</v>
      </c>
      <c r="O152" s="125">
        <v>1195.8279379999999</v>
      </c>
      <c r="P152" s="125">
        <v>4.4899999999999904</v>
      </c>
      <c r="Q152" s="126">
        <v>45293</v>
      </c>
      <c r="R152" s="22" t="s">
        <v>307</v>
      </c>
      <c r="S152" s="22">
        <v>24</v>
      </c>
      <c r="T152" s="22" t="s">
        <v>30</v>
      </c>
      <c r="U152" s="22" t="s">
        <v>31</v>
      </c>
      <c r="V152" s="128">
        <v>2861.5901749399936</v>
      </c>
      <c r="W152" s="128">
        <v>5206.6546427099884</v>
      </c>
      <c r="X152" s="128">
        <v>5361.4911208199883</v>
      </c>
      <c r="Y152" s="127">
        <v>1</v>
      </c>
      <c r="Z152" s="127">
        <v>1</v>
      </c>
      <c r="AA152" s="128">
        <v>2861.5901749399936</v>
      </c>
      <c r="AB152" s="128">
        <v>5206.6546427099884</v>
      </c>
      <c r="AC152" s="127">
        <v>0.6</v>
      </c>
      <c r="AD152" s="127">
        <v>0.4</v>
      </c>
      <c r="AE152" s="160">
        <v>3799.6159620479916</v>
      </c>
      <c r="AF152" s="164">
        <f>_xlfn.IFNA(INDEX('PGM Values'!$D$9:$D$17,MATCH('Raw Forecasting NPS Data'!$C152,'PGM Values'!$B$9:$B$17,0)),0)</f>
        <v>25053</v>
      </c>
      <c r="AG152" s="129">
        <f>_xlfn.IFNA(INDEX('PGM Values'!$C$9:$C$17,MATCH('Raw Forecasting NPS Data'!$C152,'PGM Values'!$B$9:$B$17,0)),0)</f>
        <v>25053</v>
      </c>
      <c r="AH152" s="129">
        <f t="shared" si="9"/>
        <v>95191778.697188333</v>
      </c>
      <c r="AI152" s="165">
        <f t="shared" si="10"/>
        <v>95191778.697188333</v>
      </c>
    </row>
    <row r="153" spans="3:35" x14ac:dyDescent="0.35">
      <c r="C153" s="180" t="str">
        <f>INDEX('Finance to Brand Mapping'!$D$7:$D$100,MATCH('Raw Forecasting NPS Data'!$I153,'Finance to Brand Mapping'!$C$7:$C$100,0))</f>
        <v>Keytruda</v>
      </c>
      <c r="D153" s="138" t="s">
        <v>309</v>
      </c>
      <c r="E153" s="22" t="s">
        <v>310</v>
      </c>
      <c r="F153" s="22" t="s">
        <v>311</v>
      </c>
      <c r="G153" s="22" t="s">
        <v>25</v>
      </c>
      <c r="H153" s="22" t="s">
        <v>312</v>
      </c>
      <c r="I153" s="22" t="s">
        <v>313</v>
      </c>
      <c r="J153" s="22" t="s">
        <v>28</v>
      </c>
      <c r="K153" s="125">
        <v>0</v>
      </c>
      <c r="L153" s="125">
        <v>0</v>
      </c>
      <c r="M153" s="125">
        <v>0</v>
      </c>
      <c r="N153" s="125">
        <v>30.409022</v>
      </c>
      <c r="O153" s="125">
        <v>309.60368899999997</v>
      </c>
      <c r="P153" s="125">
        <v>3</v>
      </c>
      <c r="Q153" s="126">
        <v>46267</v>
      </c>
      <c r="R153" s="22"/>
      <c r="S153" s="22" t="s">
        <v>103</v>
      </c>
      <c r="T153" s="22" t="s">
        <v>104</v>
      </c>
      <c r="U153" s="22" t="s">
        <v>72</v>
      </c>
      <c r="V153" s="128">
        <v>0</v>
      </c>
      <c r="W153" s="128">
        <v>0</v>
      </c>
      <c r="X153" s="128">
        <v>91.227066000000008</v>
      </c>
      <c r="Y153" s="127" t="s">
        <v>72</v>
      </c>
      <c r="Z153" s="127" t="s">
        <v>72</v>
      </c>
      <c r="AA153" s="128" t="s">
        <v>32</v>
      </c>
      <c r="AB153" s="128" t="s">
        <v>32</v>
      </c>
      <c r="AC153" s="127" t="s">
        <v>72</v>
      </c>
      <c r="AD153" s="127" t="s">
        <v>72</v>
      </c>
      <c r="AE153" s="160">
        <v>0</v>
      </c>
      <c r="AF153" s="164">
        <f>_xlfn.IFNA(INDEX('PGM Values'!$D$9:$D$17,MATCH('Raw Forecasting NPS Data'!$C153,'PGM Values'!$B$9:$B$17,0)),0)</f>
        <v>11542</v>
      </c>
      <c r="AG153" s="129">
        <f>_xlfn.IFNA(INDEX('PGM Values'!$C$9:$C$17,MATCH('Raw Forecasting NPS Data'!$C153,'PGM Values'!$B$9:$B$17,0)),0)</f>
        <v>11542</v>
      </c>
      <c r="AH153" s="129">
        <f t="shared" si="9"/>
        <v>0</v>
      </c>
      <c r="AI153" s="165">
        <f t="shared" si="10"/>
        <v>0</v>
      </c>
    </row>
    <row r="154" spans="3:35" x14ac:dyDescent="0.35">
      <c r="C154" s="180" t="str">
        <f>INDEX('Finance to Brand Mapping'!$D$7:$D$100,MATCH('Raw Forecasting NPS Data'!$I154,'Finance to Brand Mapping'!$C$7:$C$100,0))</f>
        <v>Keytruda</v>
      </c>
      <c r="D154" s="138" t="s">
        <v>309</v>
      </c>
      <c r="E154" s="22" t="s">
        <v>314</v>
      </c>
      <c r="F154" s="22" t="s">
        <v>311</v>
      </c>
      <c r="G154" s="22" t="s">
        <v>25</v>
      </c>
      <c r="H154" s="22" t="s">
        <v>315</v>
      </c>
      <c r="I154" s="22" t="s">
        <v>313</v>
      </c>
      <c r="J154" s="22" t="s">
        <v>28</v>
      </c>
      <c r="K154" s="125">
        <v>0</v>
      </c>
      <c r="L154" s="125">
        <v>0</v>
      </c>
      <c r="M154" s="125">
        <v>0</v>
      </c>
      <c r="N154" s="125">
        <v>4.5613530000000004</v>
      </c>
      <c r="O154" s="125">
        <v>46.440554999999996</v>
      </c>
      <c r="P154" s="125">
        <v>12.4</v>
      </c>
      <c r="Q154" s="126">
        <v>46270</v>
      </c>
      <c r="R154" s="22"/>
      <c r="S154" s="22" t="s">
        <v>103</v>
      </c>
      <c r="T154" s="22" t="s">
        <v>104</v>
      </c>
      <c r="U154" s="22" t="s">
        <v>72</v>
      </c>
      <c r="V154" s="128">
        <v>0</v>
      </c>
      <c r="W154" s="128">
        <v>0</v>
      </c>
      <c r="X154" s="128">
        <v>56.560777200000004</v>
      </c>
      <c r="Y154" s="127" t="s">
        <v>72</v>
      </c>
      <c r="Z154" s="127" t="s">
        <v>72</v>
      </c>
      <c r="AA154" s="128" t="s">
        <v>32</v>
      </c>
      <c r="AB154" s="128" t="s">
        <v>32</v>
      </c>
      <c r="AC154" s="127" t="s">
        <v>72</v>
      </c>
      <c r="AD154" s="127" t="s">
        <v>72</v>
      </c>
      <c r="AE154" s="160">
        <v>0</v>
      </c>
      <c r="AF154" s="164">
        <f>_xlfn.IFNA(INDEX('PGM Values'!$D$9:$D$17,MATCH('Raw Forecasting NPS Data'!$C154,'PGM Values'!$B$9:$B$17,0)),0)</f>
        <v>11542</v>
      </c>
      <c r="AG154" s="129">
        <f>_xlfn.IFNA(INDEX('PGM Values'!$C$9:$C$17,MATCH('Raw Forecasting NPS Data'!$C154,'PGM Values'!$B$9:$B$17,0)),0)</f>
        <v>11542</v>
      </c>
      <c r="AH154" s="129">
        <f t="shared" si="9"/>
        <v>0</v>
      </c>
      <c r="AI154" s="165">
        <f t="shared" si="10"/>
        <v>0</v>
      </c>
    </row>
    <row r="155" spans="3:35" x14ac:dyDescent="0.35">
      <c r="C155" s="180" t="str">
        <f>INDEX('Finance to Brand Mapping'!$D$7:$D$100,MATCH('Raw Forecasting NPS Data'!$I155,'Finance to Brand Mapping'!$C$7:$C$100,0))</f>
        <v>Keytruda</v>
      </c>
      <c r="D155" s="138" t="s">
        <v>309</v>
      </c>
      <c r="E155" s="22" t="s">
        <v>316</v>
      </c>
      <c r="F155" s="22" t="s">
        <v>311</v>
      </c>
      <c r="G155" s="22" t="s">
        <v>25</v>
      </c>
      <c r="H155" s="22" t="s">
        <v>317</v>
      </c>
      <c r="I155" s="22" t="s">
        <v>313</v>
      </c>
      <c r="J155" s="22" t="s">
        <v>28</v>
      </c>
      <c r="K155" s="125">
        <v>0</v>
      </c>
      <c r="L155" s="125">
        <v>0</v>
      </c>
      <c r="M155" s="125">
        <v>0</v>
      </c>
      <c r="N155" s="125">
        <v>41.05218</v>
      </c>
      <c r="O155" s="125">
        <v>417.96498100000002</v>
      </c>
      <c r="P155" s="125">
        <v>12.4</v>
      </c>
      <c r="Q155" s="126">
        <v>46273</v>
      </c>
      <c r="R155" s="22"/>
      <c r="S155" s="22" t="s">
        <v>103</v>
      </c>
      <c r="T155" s="22" t="s">
        <v>104</v>
      </c>
      <c r="U155" s="22" t="s">
        <v>72</v>
      </c>
      <c r="V155" s="128">
        <v>0</v>
      </c>
      <c r="W155" s="128">
        <v>0</v>
      </c>
      <c r="X155" s="128">
        <v>509.047032</v>
      </c>
      <c r="Y155" s="127" t="s">
        <v>72</v>
      </c>
      <c r="Z155" s="127" t="s">
        <v>72</v>
      </c>
      <c r="AA155" s="128" t="s">
        <v>32</v>
      </c>
      <c r="AB155" s="128" t="s">
        <v>32</v>
      </c>
      <c r="AC155" s="127" t="s">
        <v>72</v>
      </c>
      <c r="AD155" s="127" t="s">
        <v>72</v>
      </c>
      <c r="AE155" s="160">
        <v>0</v>
      </c>
      <c r="AF155" s="164">
        <f>_xlfn.IFNA(INDEX('PGM Values'!$D$9:$D$17,MATCH('Raw Forecasting NPS Data'!$C155,'PGM Values'!$B$9:$B$17,0)),0)</f>
        <v>11542</v>
      </c>
      <c r="AG155" s="129">
        <f>_xlfn.IFNA(INDEX('PGM Values'!$C$9:$C$17,MATCH('Raw Forecasting NPS Data'!$C155,'PGM Values'!$B$9:$B$17,0)),0)</f>
        <v>11542</v>
      </c>
      <c r="AH155" s="129">
        <f t="shared" si="9"/>
        <v>0</v>
      </c>
      <c r="AI155" s="165">
        <f t="shared" si="10"/>
        <v>0</v>
      </c>
    </row>
    <row r="156" spans="3:35" x14ac:dyDescent="0.35">
      <c r="C156" s="180" t="str">
        <f>INDEX('Finance to Brand Mapping'!$D$7:$D$100,MATCH('Raw Forecasting NPS Data'!$I156,'Finance to Brand Mapping'!$C$7:$C$100,0))</f>
        <v>New Product</v>
      </c>
      <c r="D156" s="138" t="s">
        <v>309</v>
      </c>
      <c r="E156" s="22" t="s">
        <v>318</v>
      </c>
      <c r="F156" s="22">
        <v>1</v>
      </c>
      <c r="G156" s="22" t="s">
        <v>25</v>
      </c>
      <c r="H156" s="22" t="s">
        <v>319</v>
      </c>
      <c r="I156" s="22" t="s">
        <v>253</v>
      </c>
      <c r="J156" s="22" t="s">
        <v>28</v>
      </c>
      <c r="K156" s="125">
        <v>0</v>
      </c>
      <c r="L156" s="125">
        <v>0</v>
      </c>
      <c r="M156" s="125">
        <v>0</v>
      </c>
      <c r="N156" s="125">
        <v>1660.6673959999998</v>
      </c>
      <c r="O156" s="125">
        <v>4065.9076240000004</v>
      </c>
      <c r="P156" s="125">
        <v>8.0998966259999996</v>
      </c>
      <c r="Q156" s="126">
        <v>46024</v>
      </c>
      <c r="R156" s="22"/>
      <c r="S156" s="22" t="s">
        <v>103</v>
      </c>
      <c r="T156" s="22" t="s">
        <v>104</v>
      </c>
      <c r="U156" s="22" t="s">
        <v>72</v>
      </c>
      <c r="V156" s="128">
        <v>0</v>
      </c>
      <c r="W156" s="128">
        <v>0</v>
      </c>
      <c r="X156" s="128">
        <v>13451.234237768604</v>
      </c>
      <c r="Y156" s="127" t="s">
        <v>72</v>
      </c>
      <c r="Z156" s="127" t="s">
        <v>72</v>
      </c>
      <c r="AA156" s="128" t="s">
        <v>32</v>
      </c>
      <c r="AB156" s="128" t="s">
        <v>32</v>
      </c>
      <c r="AC156" s="127" t="s">
        <v>72</v>
      </c>
      <c r="AD156" s="127" t="s">
        <v>72</v>
      </c>
      <c r="AE156" s="160">
        <v>0</v>
      </c>
      <c r="AF156" s="164">
        <f>_xlfn.IFNA(INDEX('PGM Values'!$D$9:$D$17,MATCH('Raw Forecasting NPS Data'!$C156,'PGM Values'!$B$9:$B$17,0)),0)</f>
        <v>0</v>
      </c>
      <c r="AG156" s="129">
        <f>_xlfn.IFNA(INDEX('PGM Values'!$C$9:$C$17,MATCH('Raw Forecasting NPS Data'!$C156,'PGM Values'!$B$9:$B$17,0)),0)</f>
        <v>0</v>
      </c>
      <c r="AH156" s="129">
        <f t="shared" si="9"/>
        <v>0</v>
      </c>
      <c r="AI156" s="165">
        <f t="shared" si="10"/>
        <v>0</v>
      </c>
    </row>
    <row r="157" spans="3:35" x14ac:dyDescent="0.35">
      <c r="C157" s="180" t="str">
        <f>INDEX('Finance to Brand Mapping'!$D$7:$D$100,MATCH('Raw Forecasting NPS Data'!$I157,'Finance to Brand Mapping'!$C$7:$C$100,0))</f>
        <v>Keytruda</v>
      </c>
      <c r="D157" s="138" t="s">
        <v>320</v>
      </c>
      <c r="E157" s="22" t="s">
        <v>321</v>
      </c>
      <c r="F157" s="22">
        <v>1</v>
      </c>
      <c r="G157" s="22" t="s">
        <v>25</v>
      </c>
      <c r="H157" s="22" t="s">
        <v>322</v>
      </c>
      <c r="I157" s="22" t="s">
        <v>323</v>
      </c>
      <c r="J157" s="22" t="s">
        <v>28</v>
      </c>
      <c r="K157" s="125">
        <v>0</v>
      </c>
      <c r="L157" s="125">
        <v>0</v>
      </c>
      <c r="M157" s="125">
        <v>231.89103499999999</v>
      </c>
      <c r="N157" s="125">
        <v>707.8490589999999</v>
      </c>
      <c r="O157" s="125">
        <v>594.28117799999995</v>
      </c>
      <c r="P157" s="125">
        <v>8.5143455089999893</v>
      </c>
      <c r="Q157" s="126">
        <v>45810</v>
      </c>
      <c r="R157" s="22"/>
      <c r="S157" s="22">
        <v>25</v>
      </c>
      <c r="T157" s="22" t="s">
        <v>104</v>
      </c>
      <c r="U157" s="22" t="s">
        <v>73</v>
      </c>
      <c r="V157" s="128">
        <v>0</v>
      </c>
      <c r="W157" s="128">
        <v>1974.4003924296092</v>
      </c>
      <c r="X157" s="128">
        <v>6026.8714565465179</v>
      </c>
      <c r="Y157" s="127">
        <v>1</v>
      </c>
      <c r="Z157" s="127">
        <v>1</v>
      </c>
      <c r="AA157" s="128">
        <v>0</v>
      </c>
      <c r="AB157" s="128">
        <v>1974.4003924296092</v>
      </c>
      <c r="AC157" s="127">
        <v>0</v>
      </c>
      <c r="AD157" s="127">
        <v>0.7</v>
      </c>
      <c r="AE157" s="160">
        <v>1382.0802747007262</v>
      </c>
      <c r="AF157" s="164">
        <f>_xlfn.IFNA(INDEX('PGM Values'!$D$9:$D$17,MATCH('Raw Forecasting NPS Data'!$C157,'PGM Values'!$B$9:$B$17,0)),0)</f>
        <v>11542</v>
      </c>
      <c r="AG157" s="129">
        <f>_xlfn.IFNA(INDEX('PGM Values'!$C$9:$C$17,MATCH('Raw Forecasting NPS Data'!$C157,'PGM Values'!$B$9:$B$17,0)),0)</f>
        <v>11542</v>
      </c>
      <c r="AH157" s="129">
        <f t="shared" si="9"/>
        <v>15951970.530595783</v>
      </c>
      <c r="AI157" s="165">
        <f t="shared" si="10"/>
        <v>15951970.530595783</v>
      </c>
    </row>
    <row r="158" spans="3:35" x14ac:dyDescent="0.35">
      <c r="C158" s="180" t="str">
        <f>INDEX('Finance to Brand Mapping'!$D$7:$D$100,MATCH('Raw Forecasting NPS Data'!$I158,'Finance to Brand Mapping'!$C$7:$C$100,0))</f>
        <v>Keytruda</v>
      </c>
      <c r="D158" s="138" t="s">
        <v>320</v>
      </c>
      <c r="E158" s="22" t="s">
        <v>75</v>
      </c>
      <c r="F158" s="22" t="s">
        <v>24</v>
      </c>
      <c r="G158" s="22" t="s">
        <v>25</v>
      </c>
      <c r="H158" s="22" t="s">
        <v>324</v>
      </c>
      <c r="I158" s="22" t="s">
        <v>325</v>
      </c>
      <c r="J158" s="22" t="s">
        <v>28</v>
      </c>
      <c r="K158" s="125">
        <v>2945.2762080000002</v>
      </c>
      <c r="L158" s="125">
        <v>2369.1981080000005</v>
      </c>
      <c r="M158" s="125">
        <v>1936.0329949999998</v>
      </c>
      <c r="N158" s="125">
        <v>1010.0792510000001</v>
      </c>
      <c r="O158" s="125">
        <v>793.16848299999992</v>
      </c>
      <c r="P158" s="125">
        <v>6.47799999999999</v>
      </c>
      <c r="Q158" s="126">
        <v>43115</v>
      </c>
      <c r="R158" s="22" t="s">
        <v>326</v>
      </c>
      <c r="S158" s="22" t="s">
        <v>41</v>
      </c>
      <c r="T158" s="22" t="s">
        <v>47</v>
      </c>
      <c r="U158" s="22" t="s">
        <v>47</v>
      </c>
      <c r="V158" s="128">
        <v>15347.665343623979</v>
      </c>
      <c r="W158" s="128">
        <v>12541.621741609979</v>
      </c>
      <c r="X158" s="128">
        <v>6543.2933879779903</v>
      </c>
      <c r="Y158" s="127">
        <v>0.3</v>
      </c>
      <c r="Z158" s="127">
        <v>0.3</v>
      </c>
      <c r="AA158" s="128">
        <v>4604.2996030871936</v>
      </c>
      <c r="AB158" s="128">
        <v>3762.4865224829937</v>
      </c>
      <c r="AC158" s="127">
        <v>0.65</v>
      </c>
      <c r="AD158" s="127">
        <v>0.35</v>
      </c>
      <c r="AE158" s="160">
        <v>4309.6650248757242</v>
      </c>
      <c r="AF158" s="164">
        <f>_xlfn.IFNA(INDEX('PGM Values'!$D$9:$D$17,MATCH('Raw Forecasting NPS Data'!$C158,'PGM Values'!$B$9:$B$17,0)),0)</f>
        <v>11542</v>
      </c>
      <c r="AG158" s="129">
        <f>_xlfn.IFNA(INDEX('PGM Values'!$C$9:$C$17,MATCH('Raw Forecasting NPS Data'!$C158,'PGM Values'!$B$9:$B$17,0)),0)</f>
        <v>11542</v>
      </c>
      <c r="AH158" s="129">
        <f t="shared" si="9"/>
        <v>49742153.717115611</v>
      </c>
      <c r="AI158" s="165">
        <f t="shared" si="10"/>
        <v>49742153.717115611</v>
      </c>
    </row>
    <row r="159" spans="3:35" x14ac:dyDescent="0.35">
      <c r="C159" s="180" t="str">
        <f>INDEX('Finance to Brand Mapping'!$D$7:$D$100,MATCH('Raw Forecasting NPS Data'!$I159,'Finance to Brand Mapping'!$C$7:$C$100,0))</f>
        <v>Keytruda</v>
      </c>
      <c r="D159" s="138" t="s">
        <v>320</v>
      </c>
      <c r="E159" s="22" t="s">
        <v>75</v>
      </c>
      <c r="F159" s="22" t="s">
        <v>44</v>
      </c>
      <c r="G159" s="22" t="s">
        <v>90</v>
      </c>
      <c r="H159" s="22" t="s">
        <v>327</v>
      </c>
      <c r="I159" s="22" t="s">
        <v>325</v>
      </c>
      <c r="J159" s="22" t="s">
        <v>28</v>
      </c>
      <c r="K159" s="125">
        <v>1135.3890749999998</v>
      </c>
      <c r="L159" s="125">
        <v>1057.4694460000001</v>
      </c>
      <c r="M159" s="125">
        <v>1056.5041650000001</v>
      </c>
      <c r="N159" s="125">
        <v>973.75348800000006</v>
      </c>
      <c r="O159" s="125">
        <v>879.03878999999995</v>
      </c>
      <c r="P159" s="125">
        <v>8.8552</v>
      </c>
      <c r="Q159" s="126">
        <v>43115</v>
      </c>
      <c r="R159" s="22" t="s">
        <v>32</v>
      </c>
      <c r="S159" s="22" t="s">
        <v>41</v>
      </c>
      <c r="T159" s="22" t="s">
        <v>47</v>
      </c>
      <c r="U159" s="22" t="s">
        <v>47</v>
      </c>
      <c r="V159" s="128">
        <v>9364.1034382192011</v>
      </c>
      <c r="W159" s="128">
        <v>9355.5556819080011</v>
      </c>
      <c r="X159" s="128">
        <v>8622.7818869376006</v>
      </c>
      <c r="Y159" s="127">
        <v>0.3</v>
      </c>
      <c r="Z159" s="127">
        <v>0.3</v>
      </c>
      <c r="AA159" s="128">
        <v>2809.2310314657602</v>
      </c>
      <c r="AB159" s="128">
        <v>2806.6667045724002</v>
      </c>
      <c r="AC159" s="127">
        <v>0.65</v>
      </c>
      <c r="AD159" s="127">
        <v>0.35</v>
      </c>
      <c r="AE159" s="160">
        <v>2808.3335170530845</v>
      </c>
      <c r="AF159" s="164">
        <f>_xlfn.IFNA(INDEX('PGM Values'!$D$9:$D$17,MATCH('Raw Forecasting NPS Data'!$C159,'PGM Values'!$B$9:$B$17,0)),0)</f>
        <v>11542</v>
      </c>
      <c r="AG159" s="129">
        <f>_xlfn.IFNA(INDEX('PGM Values'!$C$9:$C$17,MATCH('Raw Forecasting NPS Data'!$C159,'PGM Values'!$B$9:$B$17,0)),0)</f>
        <v>11542</v>
      </c>
      <c r="AH159" s="129">
        <f t="shared" si="9"/>
        <v>32413785.453826703</v>
      </c>
      <c r="AI159" s="165">
        <f t="shared" si="10"/>
        <v>32413785.453826703</v>
      </c>
    </row>
    <row r="160" spans="3:35" x14ac:dyDescent="0.35">
      <c r="C160" s="180" t="str">
        <f>INDEX('Finance to Brand Mapping'!$D$7:$D$100,MATCH('Raw Forecasting NPS Data'!$I160,'Finance to Brand Mapping'!$C$7:$C$100,0))</f>
        <v>Keytruda</v>
      </c>
      <c r="D160" s="138" t="s">
        <v>320</v>
      </c>
      <c r="E160" s="22" t="s">
        <v>75</v>
      </c>
      <c r="F160" s="22" t="s">
        <v>112</v>
      </c>
      <c r="G160" s="22" t="s">
        <v>25</v>
      </c>
      <c r="H160" s="22" t="s">
        <v>328</v>
      </c>
      <c r="I160" s="22" t="s">
        <v>329</v>
      </c>
      <c r="J160" s="22" t="s">
        <v>28</v>
      </c>
      <c r="K160" s="125">
        <v>4748.7291839999998</v>
      </c>
      <c r="L160" s="125">
        <v>4664.1173309999995</v>
      </c>
      <c r="M160" s="125">
        <v>4562.3866039999994</v>
      </c>
      <c r="N160" s="125">
        <v>4151.0364129999998</v>
      </c>
      <c r="O160" s="125">
        <v>3671.4162540000007</v>
      </c>
      <c r="P160" s="125">
        <v>5.4964933499999997</v>
      </c>
      <c r="Q160" s="126">
        <v>44378</v>
      </c>
      <c r="R160" s="22" t="s">
        <v>330</v>
      </c>
      <c r="S160" s="22" t="s">
        <v>41</v>
      </c>
      <c r="T160" s="22" t="s">
        <v>42</v>
      </c>
      <c r="U160" s="22" t="s">
        <v>42</v>
      </c>
      <c r="V160" s="128">
        <v>25636.289893461246</v>
      </c>
      <c r="W160" s="128">
        <v>25077.127629015078</v>
      </c>
      <c r="X160" s="128">
        <v>22816.144039662351</v>
      </c>
      <c r="Y160" s="127">
        <v>0.8</v>
      </c>
      <c r="Z160" s="127">
        <v>0.6</v>
      </c>
      <c r="AA160" s="128">
        <v>20509.031914768999</v>
      </c>
      <c r="AB160" s="128">
        <v>15046.276577409046</v>
      </c>
      <c r="AC160" s="127">
        <v>0.65</v>
      </c>
      <c r="AD160" s="127">
        <v>0.35</v>
      </c>
      <c r="AE160" s="160">
        <v>18597.067546693015</v>
      </c>
      <c r="AF160" s="164">
        <f>_xlfn.IFNA(INDEX('PGM Values'!$D$9:$D$17,MATCH('Raw Forecasting NPS Data'!$C160,'PGM Values'!$B$9:$B$17,0)),0)</f>
        <v>11542</v>
      </c>
      <c r="AG160" s="129">
        <f>_xlfn.IFNA(INDEX('PGM Values'!$C$9:$C$17,MATCH('Raw Forecasting NPS Data'!$C160,'PGM Values'!$B$9:$B$17,0)),0)</f>
        <v>11542</v>
      </c>
      <c r="AH160" s="129">
        <f t="shared" si="9"/>
        <v>214647353.62393078</v>
      </c>
      <c r="AI160" s="165">
        <f t="shared" si="10"/>
        <v>214647353.62393078</v>
      </c>
    </row>
    <row r="161" spans="3:35" x14ac:dyDescent="0.35">
      <c r="C161" s="180" t="str">
        <f>INDEX('Finance to Brand Mapping'!$D$7:$D$100,MATCH('Raw Forecasting NPS Data'!$I161,'Finance to Brand Mapping'!$C$7:$C$100,0))</f>
        <v>Keytruda</v>
      </c>
      <c r="D161" s="138" t="s">
        <v>320</v>
      </c>
      <c r="E161" s="22" t="s">
        <v>75</v>
      </c>
      <c r="F161" s="22" t="s">
        <v>157</v>
      </c>
      <c r="G161" s="22" t="s">
        <v>25</v>
      </c>
      <c r="H161" s="22" t="s">
        <v>331</v>
      </c>
      <c r="I161" s="22" t="s">
        <v>329</v>
      </c>
      <c r="J161" s="22" t="s">
        <v>28</v>
      </c>
      <c r="K161" s="125">
        <v>11080.368099000003</v>
      </c>
      <c r="L161" s="125">
        <v>10882.940443000001</v>
      </c>
      <c r="M161" s="125">
        <v>10645.568739999999</v>
      </c>
      <c r="N161" s="125">
        <v>9685.751628</v>
      </c>
      <c r="O161" s="125">
        <v>8566.6379240000006</v>
      </c>
      <c r="P161" s="125">
        <v>10.49649335</v>
      </c>
      <c r="Q161" s="126">
        <v>44378</v>
      </c>
      <c r="R161" s="22" t="s">
        <v>330</v>
      </c>
      <c r="S161" s="22" t="s">
        <v>41</v>
      </c>
      <c r="T161" s="22" t="s">
        <v>42</v>
      </c>
      <c r="U161" s="22" t="s">
        <v>42</v>
      </c>
      <c r="V161" s="128">
        <v>114232.71198839556</v>
      </c>
      <c r="W161" s="128">
        <v>111741.14148637786</v>
      </c>
      <c r="X161" s="128">
        <v>101666.42755305367</v>
      </c>
      <c r="Y161" s="127">
        <v>0.8</v>
      </c>
      <c r="Z161" s="127">
        <v>0.6</v>
      </c>
      <c r="AA161" s="128">
        <v>91386.169590716454</v>
      </c>
      <c r="AB161" s="128">
        <v>67044.684891826721</v>
      </c>
      <c r="AC161" s="127">
        <v>0.65</v>
      </c>
      <c r="AD161" s="127">
        <v>0.35</v>
      </c>
      <c r="AE161" s="160">
        <v>82866.649946105041</v>
      </c>
      <c r="AF161" s="164">
        <f>_xlfn.IFNA(INDEX('PGM Values'!$D$9:$D$17,MATCH('Raw Forecasting NPS Data'!$C161,'PGM Values'!$B$9:$B$17,0)),0)</f>
        <v>11542</v>
      </c>
      <c r="AG161" s="129">
        <f>_xlfn.IFNA(INDEX('PGM Values'!$C$9:$C$17,MATCH('Raw Forecasting NPS Data'!$C161,'PGM Values'!$B$9:$B$17,0)),0)</f>
        <v>11542</v>
      </c>
      <c r="AH161" s="129">
        <f t="shared" si="9"/>
        <v>956446873.67794442</v>
      </c>
      <c r="AI161" s="165">
        <f t="shared" si="10"/>
        <v>956446873.67794442</v>
      </c>
    </row>
    <row r="162" spans="3:35" x14ac:dyDescent="0.35">
      <c r="C162" s="180" t="str">
        <f>INDEX('Finance to Brand Mapping'!$D$7:$D$100,MATCH('Raw Forecasting NPS Data'!$I162,'Finance to Brand Mapping'!$C$7:$C$100,0))</f>
        <v>Keytruda</v>
      </c>
      <c r="D162" s="138" t="s">
        <v>320</v>
      </c>
      <c r="E162" s="22" t="s">
        <v>43</v>
      </c>
      <c r="F162" s="22" t="s">
        <v>81</v>
      </c>
      <c r="G162" s="22" t="s">
        <v>90</v>
      </c>
      <c r="H162" s="22" t="s">
        <v>332</v>
      </c>
      <c r="I162" s="22" t="s">
        <v>329</v>
      </c>
      <c r="J162" s="22" t="s">
        <v>28</v>
      </c>
      <c r="K162" s="125">
        <v>3300.161724</v>
      </c>
      <c r="L162" s="125">
        <v>3069.0001439999996</v>
      </c>
      <c r="M162" s="125">
        <v>2904</v>
      </c>
      <c r="N162" s="125">
        <v>2904</v>
      </c>
      <c r="O162" s="125">
        <v>2904</v>
      </c>
      <c r="P162" s="125">
        <v>6.1</v>
      </c>
      <c r="Q162" s="126">
        <v>42736</v>
      </c>
      <c r="R162" s="22" t="s">
        <v>333</v>
      </c>
      <c r="S162" s="22" t="s">
        <v>41</v>
      </c>
      <c r="T162" s="22" t="s">
        <v>57</v>
      </c>
      <c r="U162" s="22" t="s">
        <v>98</v>
      </c>
      <c r="V162" s="128">
        <v>18720.900878399996</v>
      </c>
      <c r="W162" s="128">
        <v>17714.399999999998</v>
      </c>
      <c r="X162" s="128">
        <v>17714.399999999998</v>
      </c>
      <c r="Y162" s="127">
        <v>0.15</v>
      </c>
      <c r="Z162" s="127">
        <v>0.15</v>
      </c>
      <c r="AA162" s="128">
        <v>2808.1351317599992</v>
      </c>
      <c r="AB162" s="128">
        <v>2657.1599999999994</v>
      </c>
      <c r="AC162" s="127">
        <v>0.65</v>
      </c>
      <c r="AD162" s="127">
        <v>0.35</v>
      </c>
      <c r="AE162" s="160">
        <v>2755.2938356439995</v>
      </c>
      <c r="AF162" s="164">
        <f>_xlfn.IFNA(INDEX('PGM Values'!$D$9:$D$17,MATCH('Raw Forecasting NPS Data'!$C162,'PGM Values'!$B$9:$B$17,0)),0)</f>
        <v>11542</v>
      </c>
      <c r="AG162" s="129">
        <f>_xlfn.IFNA(INDEX('PGM Values'!$C$9:$C$17,MATCH('Raw Forecasting NPS Data'!$C162,'PGM Values'!$B$9:$B$17,0)),0)</f>
        <v>11542</v>
      </c>
      <c r="AH162" s="129">
        <f t="shared" si="9"/>
        <v>31801601.451003041</v>
      </c>
      <c r="AI162" s="165">
        <f t="shared" si="10"/>
        <v>31801601.451003041</v>
      </c>
    </row>
    <row r="163" spans="3:35" x14ac:dyDescent="0.35">
      <c r="C163" s="180" t="str">
        <f>INDEX('Finance to Brand Mapping'!$D$7:$D$100,MATCH('Raw Forecasting NPS Data'!$I163,'Finance to Brand Mapping'!$C$7:$C$100,0))</f>
        <v>Keytruda</v>
      </c>
      <c r="D163" s="138" t="s">
        <v>320</v>
      </c>
      <c r="E163" s="22" t="s">
        <v>43</v>
      </c>
      <c r="F163" s="22" t="s">
        <v>157</v>
      </c>
      <c r="G163" s="22" t="s">
        <v>25</v>
      </c>
      <c r="H163" s="22" t="s">
        <v>334</v>
      </c>
      <c r="I163" s="22" t="s">
        <v>329</v>
      </c>
      <c r="J163" s="22" t="s">
        <v>28</v>
      </c>
      <c r="K163" s="125">
        <v>0</v>
      </c>
      <c r="L163" s="125">
        <v>0</v>
      </c>
      <c r="M163" s="125">
        <v>149.951662</v>
      </c>
      <c r="N163" s="125">
        <v>536.12420900000006</v>
      </c>
      <c r="O163" s="125">
        <v>497.44908199999998</v>
      </c>
      <c r="P163" s="125">
        <v>8.9600000000000009</v>
      </c>
      <c r="Q163" s="126">
        <v>45810</v>
      </c>
      <c r="R163" s="22"/>
      <c r="S163" s="22">
        <v>25</v>
      </c>
      <c r="T163" s="22" t="s">
        <v>104</v>
      </c>
      <c r="U163" s="22" t="s">
        <v>73</v>
      </c>
      <c r="V163" s="128">
        <v>0</v>
      </c>
      <c r="W163" s="128">
        <v>1343.5668915200001</v>
      </c>
      <c r="X163" s="128">
        <v>4803.6729126400014</v>
      </c>
      <c r="Y163" s="127">
        <v>1</v>
      </c>
      <c r="Z163" s="127">
        <v>1</v>
      </c>
      <c r="AA163" s="128">
        <v>0</v>
      </c>
      <c r="AB163" s="128">
        <v>1343.5668915200001</v>
      </c>
      <c r="AC163" s="127">
        <v>0</v>
      </c>
      <c r="AD163" s="127">
        <v>0.7</v>
      </c>
      <c r="AE163" s="160">
        <v>940.49682406400007</v>
      </c>
      <c r="AF163" s="164">
        <f>_xlfn.IFNA(INDEX('PGM Values'!$D$9:$D$17,MATCH('Raw Forecasting NPS Data'!$C163,'PGM Values'!$B$9:$B$17,0)),0)</f>
        <v>11542</v>
      </c>
      <c r="AG163" s="129">
        <f>_xlfn.IFNA(INDEX('PGM Values'!$C$9:$C$17,MATCH('Raw Forecasting NPS Data'!$C163,'PGM Values'!$B$9:$B$17,0)),0)</f>
        <v>11542</v>
      </c>
      <c r="AH163" s="129">
        <f t="shared" si="9"/>
        <v>10855214.343346689</v>
      </c>
      <c r="AI163" s="165">
        <f t="shared" si="10"/>
        <v>10855214.343346689</v>
      </c>
    </row>
    <row r="164" spans="3:35" x14ac:dyDescent="0.35">
      <c r="C164" s="180" t="str">
        <f>INDEX('Finance to Brand Mapping'!$D$7:$D$100,MATCH('Raw Forecasting NPS Data'!$I164,'Finance to Brand Mapping'!$C$7:$C$100,0))</f>
        <v>Keytruda</v>
      </c>
      <c r="D164" s="138" t="s">
        <v>194</v>
      </c>
      <c r="E164" s="22" t="s">
        <v>43</v>
      </c>
      <c r="F164" s="22" t="s">
        <v>24</v>
      </c>
      <c r="G164" s="22" t="s">
        <v>25</v>
      </c>
      <c r="H164" s="22" t="s">
        <v>335</v>
      </c>
      <c r="I164" s="22" t="s">
        <v>336</v>
      </c>
      <c r="J164" s="22" t="s">
        <v>28</v>
      </c>
      <c r="K164" s="125">
        <v>2759.3686969999999</v>
      </c>
      <c r="L164" s="125">
        <v>2359.5433289999996</v>
      </c>
      <c r="M164" s="125">
        <v>1746.2513310000002</v>
      </c>
      <c r="N164" s="125">
        <v>1543.3920830000002</v>
      </c>
      <c r="O164" s="125">
        <v>1362.6550340000003</v>
      </c>
      <c r="P164" s="125">
        <v>7.0625235989999897</v>
      </c>
      <c r="Q164" s="126">
        <v>43101</v>
      </c>
      <c r="R164" s="22" t="s">
        <v>337</v>
      </c>
      <c r="S164" s="22" t="s">
        <v>41</v>
      </c>
      <c r="T164" s="22" t="s">
        <v>57</v>
      </c>
      <c r="U164" s="22" t="s">
        <v>47</v>
      </c>
      <c r="V164" s="128">
        <v>16664.330443925493</v>
      </c>
      <c r="W164" s="128">
        <v>12332.941234972643</v>
      </c>
      <c r="X164" s="128">
        <v>10900.243008697253</v>
      </c>
      <c r="Y164" s="127">
        <v>0.3</v>
      </c>
      <c r="Z164" s="127">
        <v>0.3</v>
      </c>
      <c r="AA164" s="128">
        <v>4999.2991331776475</v>
      </c>
      <c r="AB164" s="128">
        <v>3699.8823704917927</v>
      </c>
      <c r="AC164" s="127">
        <v>0.65</v>
      </c>
      <c r="AD164" s="127">
        <v>0.35</v>
      </c>
      <c r="AE164" s="160">
        <v>4544.5032662375988</v>
      </c>
      <c r="AF164" s="164">
        <f>_xlfn.IFNA(INDEX('PGM Values'!$D$9:$D$17,MATCH('Raw Forecasting NPS Data'!$C164,'PGM Values'!$B$9:$B$17,0)),0)</f>
        <v>11542</v>
      </c>
      <c r="AG164" s="129">
        <f>_xlfn.IFNA(INDEX('PGM Values'!$C$9:$C$17,MATCH('Raw Forecasting NPS Data'!$C164,'PGM Values'!$B$9:$B$17,0)),0)</f>
        <v>11542</v>
      </c>
      <c r="AH164" s="129">
        <f t="shared" si="9"/>
        <v>52452656.698914364</v>
      </c>
      <c r="AI164" s="165">
        <f t="shared" si="10"/>
        <v>52452656.698914364</v>
      </c>
    </row>
    <row r="165" spans="3:35" x14ac:dyDescent="0.35">
      <c r="C165" s="180" t="str">
        <f>INDEX('Finance to Brand Mapping'!$D$7:$D$100,MATCH('Raw Forecasting NPS Data'!$I165,'Finance to Brand Mapping'!$C$7:$C$100,0))</f>
        <v>Keytruda</v>
      </c>
      <c r="D165" s="138" t="s">
        <v>194</v>
      </c>
      <c r="E165" s="22" t="s">
        <v>43</v>
      </c>
      <c r="F165" s="22" t="s">
        <v>44</v>
      </c>
      <c r="G165" s="22" t="s">
        <v>25</v>
      </c>
      <c r="H165" s="22" t="s">
        <v>338</v>
      </c>
      <c r="I165" s="22" t="s">
        <v>336</v>
      </c>
      <c r="J165" s="22" t="s">
        <v>28</v>
      </c>
      <c r="K165" s="125">
        <v>2224.3862830000003</v>
      </c>
      <c r="L165" s="125">
        <v>1303.77145</v>
      </c>
      <c r="M165" s="125">
        <v>866.74953699999992</v>
      </c>
      <c r="N165" s="125">
        <v>664.87926699999991</v>
      </c>
      <c r="O165" s="125">
        <v>556.411564</v>
      </c>
      <c r="P165" s="125">
        <v>7.1794582419999999</v>
      </c>
      <c r="Q165" s="126">
        <v>43101</v>
      </c>
      <c r="R165" s="22" t="s">
        <v>337</v>
      </c>
      <c r="S165" s="22" t="s">
        <v>41</v>
      </c>
      <c r="T165" s="22" t="s">
        <v>57</v>
      </c>
      <c r="U165" s="22" t="s">
        <v>47</v>
      </c>
      <c r="V165" s="128">
        <v>9360.372682386791</v>
      </c>
      <c r="W165" s="128">
        <v>6222.7921071643332</v>
      </c>
      <c r="X165" s="128">
        <v>4773.4729333980677</v>
      </c>
      <c r="Y165" s="127">
        <v>0.3</v>
      </c>
      <c r="Z165" s="127">
        <v>0.3</v>
      </c>
      <c r="AA165" s="128">
        <v>2808.1118047160371</v>
      </c>
      <c r="AB165" s="128">
        <v>1866.8376321492999</v>
      </c>
      <c r="AC165" s="127">
        <v>0.65</v>
      </c>
      <c r="AD165" s="127">
        <v>0.35</v>
      </c>
      <c r="AE165" s="160">
        <v>2478.6658443176793</v>
      </c>
      <c r="AF165" s="164">
        <f>_xlfn.IFNA(INDEX('PGM Values'!$D$9:$D$17,MATCH('Raw Forecasting NPS Data'!$C165,'PGM Values'!$B$9:$B$17,0)),0)</f>
        <v>11542</v>
      </c>
      <c r="AG165" s="129">
        <f>_xlfn.IFNA(INDEX('PGM Values'!$C$9:$C$17,MATCH('Raw Forecasting NPS Data'!$C165,'PGM Values'!$B$9:$B$17,0)),0)</f>
        <v>11542</v>
      </c>
      <c r="AH165" s="129">
        <f t="shared" si="9"/>
        <v>28608761.175114654</v>
      </c>
      <c r="AI165" s="165">
        <f t="shared" si="10"/>
        <v>28608761.175114654</v>
      </c>
    </row>
    <row r="166" spans="3:35" ht="15" thickBot="1" x14ac:dyDescent="0.4">
      <c r="C166" s="181" t="str">
        <f>INDEX('Finance to Brand Mapping'!$D$7:$D$100,MATCH('Raw Forecasting NPS Data'!$I166,'Finance to Brand Mapping'!$C$7:$C$100,0))</f>
        <v>Welireg</v>
      </c>
      <c r="D166" s="139" t="s">
        <v>339</v>
      </c>
      <c r="E166" s="132" t="s">
        <v>304</v>
      </c>
      <c r="F166" s="132" t="s">
        <v>340</v>
      </c>
      <c r="G166" s="132" t="s">
        <v>90</v>
      </c>
      <c r="H166" s="132" t="s">
        <v>341</v>
      </c>
      <c r="I166" s="132" t="s">
        <v>342</v>
      </c>
      <c r="J166" s="132" t="s">
        <v>28</v>
      </c>
      <c r="K166" s="133">
        <v>729.78696799999989</v>
      </c>
      <c r="L166" s="133">
        <v>686.22238099999993</v>
      </c>
      <c r="M166" s="133">
        <v>456.32328600000005</v>
      </c>
      <c r="N166" s="133">
        <v>283.45314100000002</v>
      </c>
      <c r="O166" s="133">
        <v>198.80249300000003</v>
      </c>
      <c r="P166" s="133">
        <v>33.6</v>
      </c>
      <c r="Q166" s="134">
        <v>44410</v>
      </c>
      <c r="R166" s="132" t="s">
        <v>343</v>
      </c>
      <c r="S166" s="132" t="s">
        <v>41</v>
      </c>
      <c r="T166" s="132" t="s">
        <v>42</v>
      </c>
      <c r="U166" s="132" t="s">
        <v>42</v>
      </c>
      <c r="V166" s="136">
        <v>23057.072001599998</v>
      </c>
      <c r="W166" s="136">
        <v>15332.462409600003</v>
      </c>
      <c r="X166" s="136">
        <v>9524.0255376000005</v>
      </c>
      <c r="Y166" s="135">
        <v>0.8</v>
      </c>
      <c r="Z166" s="135">
        <v>0.6</v>
      </c>
      <c r="AA166" s="136">
        <v>18445.65760128</v>
      </c>
      <c r="AB166" s="136">
        <v>9199.4774457600015</v>
      </c>
      <c r="AC166" s="135">
        <v>0.65</v>
      </c>
      <c r="AD166" s="135">
        <v>0.35</v>
      </c>
      <c r="AE166" s="161">
        <v>15209.494546848</v>
      </c>
      <c r="AF166" s="166">
        <f>_xlfn.IFNA(INDEX('PGM Values'!$D$9:$D$17,MATCH('Raw Forecasting NPS Data'!$C166,'PGM Values'!$B$9:$B$17,0)),0)</f>
        <v>25053</v>
      </c>
      <c r="AG166" s="137">
        <f>_xlfn.IFNA(INDEX('PGM Values'!$C$9:$C$17,MATCH('Raw Forecasting NPS Data'!$C166,'PGM Values'!$B$9:$B$17,0)),0)</f>
        <v>25053</v>
      </c>
      <c r="AH166" s="137">
        <f t="shared" si="9"/>
        <v>381043466.88218296</v>
      </c>
      <c r="AI166" s="167">
        <f t="shared" si="10"/>
        <v>381043466.88218296</v>
      </c>
    </row>
  </sheetData>
  <autoFilter ref="C5:AI166" xr:uid="{1F10C1FB-831F-4347-A1B0-93BB0B6CCDCE}"/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2B9E-EEF0-4AF3-9F26-3B0FAC0CC511}">
  <sheetPr>
    <tabColor theme="9" tint="-0.249977111117893"/>
  </sheetPr>
  <dimension ref="B1:N126"/>
  <sheetViews>
    <sheetView zoomScale="115" zoomScaleNormal="115" workbookViewId="0">
      <selection activeCell="C132" sqref="C132"/>
    </sheetView>
  </sheetViews>
  <sheetFormatPr defaultRowHeight="14.5" x14ac:dyDescent="0.35"/>
  <cols>
    <col min="1" max="1" width="7.6328125" style="4" customWidth="1"/>
    <col min="2" max="2" width="16.08984375" style="4" customWidth="1"/>
    <col min="3" max="3" width="78.08984375" style="4" bestFit="1" customWidth="1"/>
    <col min="4" max="8" width="20.6328125" style="4" customWidth="1"/>
    <col min="9" max="9" width="6.1796875" style="4" customWidth="1"/>
    <col min="10" max="14" width="20.6328125" style="4" customWidth="1"/>
    <col min="15" max="16384" width="8.7265625" style="4"/>
  </cols>
  <sheetData>
    <row r="1" spans="2:14" x14ac:dyDescent="0.35">
      <c r="B1" s="719" t="s">
        <v>932</v>
      </c>
    </row>
    <row r="2" spans="2:14" x14ac:dyDescent="0.35">
      <c r="B2" s="748" t="s">
        <v>931</v>
      </c>
      <c r="D2" s="4" t="b">
        <f>D3=D4</f>
        <v>1</v>
      </c>
      <c r="E2" s="4" t="b">
        <f t="shared" ref="E2:N2" si="0">E3=E4</f>
        <v>1</v>
      </c>
      <c r="F2" s="4" t="b">
        <f t="shared" si="0"/>
        <v>1</v>
      </c>
      <c r="G2" s="4" t="b">
        <f t="shared" si="0"/>
        <v>1</v>
      </c>
      <c r="H2" s="4" t="b">
        <f t="shared" si="0"/>
        <v>1</v>
      </c>
      <c r="J2" s="4" t="b">
        <f t="shared" si="0"/>
        <v>1</v>
      </c>
      <c r="K2" s="4" t="b">
        <f t="shared" si="0"/>
        <v>1</v>
      </c>
      <c r="L2" s="4" t="b">
        <f t="shared" si="0"/>
        <v>1</v>
      </c>
      <c r="M2" s="4" t="b">
        <f t="shared" si="0"/>
        <v>1</v>
      </c>
      <c r="N2" s="4" t="b">
        <f t="shared" si="0"/>
        <v>1</v>
      </c>
    </row>
    <row r="3" spans="2:14" x14ac:dyDescent="0.35">
      <c r="B3" s="764" t="s">
        <v>963</v>
      </c>
      <c r="D3" s="761">
        <v>36924.334832115695</v>
      </c>
      <c r="E3" s="761">
        <v>41331.947845174465</v>
      </c>
      <c r="F3" s="761">
        <v>46931.034498651454</v>
      </c>
      <c r="G3" s="761">
        <v>52388.560334666843</v>
      </c>
      <c r="H3" s="761">
        <v>56670.697092108589</v>
      </c>
      <c r="I3" s="761"/>
      <c r="J3" s="761">
        <v>34479.193700194541</v>
      </c>
      <c r="K3" s="761">
        <v>38512.715749299852</v>
      </c>
      <c r="L3" s="761">
        <v>43003.531022631214</v>
      </c>
      <c r="M3" s="761">
        <v>49025.247450924857</v>
      </c>
      <c r="N3" s="761">
        <v>54276.23650786747</v>
      </c>
    </row>
    <row r="4" spans="2:14" ht="19.5" customHeight="1" thickBot="1" x14ac:dyDescent="0.4">
      <c r="B4" s="764" t="s">
        <v>964</v>
      </c>
      <c r="D4" s="762">
        <f>SUM(D11:D126)</f>
        <v>36924.334832115695</v>
      </c>
      <c r="E4" s="762">
        <f t="shared" ref="E4:N4" si="1">SUM(E11:E126)</f>
        <v>41331.947845174465</v>
      </c>
      <c r="F4" s="762">
        <f t="shared" si="1"/>
        <v>46931.034498651454</v>
      </c>
      <c r="G4" s="762">
        <f t="shared" si="1"/>
        <v>52388.560334666843</v>
      </c>
      <c r="H4" s="762">
        <f t="shared" si="1"/>
        <v>56670.697092108589</v>
      </c>
      <c r="I4" s="762"/>
      <c r="J4" s="762">
        <f t="shared" si="1"/>
        <v>34479.193700194541</v>
      </c>
      <c r="K4" s="762">
        <f t="shared" si="1"/>
        <v>38512.715749299852</v>
      </c>
      <c r="L4" s="762">
        <f t="shared" si="1"/>
        <v>43003.531022631214</v>
      </c>
      <c r="M4" s="762">
        <f t="shared" si="1"/>
        <v>49025.247450924857</v>
      </c>
      <c r="N4" s="762">
        <f t="shared" si="1"/>
        <v>54276.23650786747</v>
      </c>
    </row>
    <row r="5" spans="2:14" ht="32" customHeight="1" thickBot="1" x14ac:dyDescent="0.4">
      <c r="D5" s="1001" t="s">
        <v>391</v>
      </c>
      <c r="E5" s="1002"/>
      <c r="F5" s="1002"/>
      <c r="G5" s="1002"/>
      <c r="H5" s="1003"/>
      <c r="I5" s="21"/>
      <c r="J5" s="1004" t="s">
        <v>392</v>
      </c>
      <c r="K5" s="1005"/>
      <c r="L5" s="1005"/>
      <c r="M5" s="1005"/>
      <c r="N5" s="1006"/>
    </row>
    <row r="6" spans="2:14" ht="15" thickBot="1" x14ac:dyDescent="0.4">
      <c r="D6" s="172" t="s">
        <v>393</v>
      </c>
      <c r="J6" s="172" t="s">
        <v>394</v>
      </c>
    </row>
    <row r="7" spans="2:14" ht="16" thickBot="1" x14ac:dyDescent="0.4">
      <c r="C7" s="285">
        <v>1</v>
      </c>
      <c r="D7" s="24">
        <v>2</v>
      </c>
      <c r="E7" s="25">
        <v>3</v>
      </c>
      <c r="F7" s="25">
        <v>4</v>
      </c>
      <c r="G7" s="25">
        <v>5</v>
      </c>
      <c r="H7" s="26">
        <v>6</v>
      </c>
      <c r="I7" s="2">
        <v>7</v>
      </c>
      <c r="J7" s="27">
        <v>8</v>
      </c>
      <c r="K7" s="28">
        <v>9</v>
      </c>
      <c r="L7" s="28">
        <v>10</v>
      </c>
      <c r="M7" s="28">
        <v>11</v>
      </c>
      <c r="N7" s="29">
        <v>12</v>
      </c>
    </row>
    <row r="8" spans="2:14" ht="15" thickBot="1" x14ac:dyDescent="0.4">
      <c r="D8" s="30" t="s">
        <v>395</v>
      </c>
      <c r="E8" s="30" t="s">
        <v>395</v>
      </c>
      <c r="F8" s="31" t="s">
        <v>395</v>
      </c>
      <c r="G8" s="31" t="s">
        <v>395</v>
      </c>
      <c r="H8" s="31" t="s">
        <v>395</v>
      </c>
      <c r="I8" s="32"/>
      <c r="J8" s="30" t="s">
        <v>395</v>
      </c>
      <c r="K8" s="30" t="s">
        <v>395</v>
      </c>
      <c r="L8" s="31" t="s">
        <v>395</v>
      </c>
      <c r="M8" s="31" t="s">
        <v>395</v>
      </c>
      <c r="N8" s="31" t="s">
        <v>395</v>
      </c>
    </row>
    <row r="9" spans="2:14" ht="31" customHeight="1" thickBot="1" x14ac:dyDescent="0.4">
      <c r="C9" s="33" t="s">
        <v>396</v>
      </c>
      <c r="D9" s="34" t="s">
        <v>397</v>
      </c>
      <c r="E9" s="34" t="s">
        <v>397</v>
      </c>
      <c r="F9" s="34" t="s">
        <v>397</v>
      </c>
      <c r="G9" s="34" t="s">
        <v>397</v>
      </c>
      <c r="H9" s="34" t="s">
        <v>397</v>
      </c>
      <c r="I9" s="35"/>
      <c r="J9" s="34" t="s">
        <v>397</v>
      </c>
      <c r="K9" s="34" t="s">
        <v>397</v>
      </c>
      <c r="L9" s="34" t="s">
        <v>397</v>
      </c>
      <c r="M9" s="34" t="s">
        <v>397</v>
      </c>
      <c r="N9" s="34" t="s">
        <v>397</v>
      </c>
    </row>
    <row r="10" spans="2:14" ht="20" x14ac:dyDescent="0.35">
      <c r="C10" s="36" t="s">
        <v>398</v>
      </c>
      <c r="D10" s="37">
        <v>2023</v>
      </c>
      <c r="E10" s="37">
        <v>2024</v>
      </c>
      <c r="F10" s="37">
        <v>2025</v>
      </c>
      <c r="G10" s="37">
        <v>2026</v>
      </c>
      <c r="H10" s="37">
        <v>2027</v>
      </c>
      <c r="I10" s="38"/>
      <c r="J10" s="37">
        <v>2023</v>
      </c>
      <c r="K10" s="37">
        <v>2024</v>
      </c>
      <c r="L10" s="37">
        <v>2025</v>
      </c>
      <c r="M10" s="37">
        <v>2026</v>
      </c>
      <c r="N10" s="37">
        <v>2027</v>
      </c>
    </row>
    <row r="11" spans="2:14" ht="15.5" x14ac:dyDescent="0.35">
      <c r="C11" s="39" t="s">
        <v>399</v>
      </c>
      <c r="D11" s="40">
        <v>4024.4552380357886</v>
      </c>
      <c r="E11" s="40">
        <v>4381.4582588544645</v>
      </c>
      <c r="F11" s="40">
        <v>4158.6551699162028</v>
      </c>
      <c r="G11" s="40">
        <v>3874.255028674911</v>
      </c>
      <c r="H11" s="40">
        <v>3999.0195050796301</v>
      </c>
      <c r="I11" s="41"/>
      <c r="J11" s="40">
        <v>4024.4552380357886</v>
      </c>
      <c r="K11" s="40">
        <v>4381.4582588544645</v>
      </c>
      <c r="L11" s="40">
        <v>4158.6551699162028</v>
      </c>
      <c r="M11" s="40">
        <v>4177.9335687705934</v>
      </c>
      <c r="N11" s="40">
        <v>4053.3540412531797</v>
      </c>
    </row>
    <row r="12" spans="2:14" ht="15.5" x14ac:dyDescent="0.35">
      <c r="C12" s="42" t="s">
        <v>358</v>
      </c>
      <c r="D12" s="43">
        <v>3848.5646172331781</v>
      </c>
      <c r="E12" s="43">
        <v>3787.0735281752354</v>
      </c>
      <c r="F12" s="43">
        <v>3470.5517747671406</v>
      </c>
      <c r="G12" s="43">
        <v>3139.0520413756904</v>
      </c>
      <c r="H12" s="43">
        <v>2943.3282646523767</v>
      </c>
      <c r="I12" s="44"/>
      <c r="J12" s="43">
        <v>3848.5646172331781</v>
      </c>
      <c r="K12" s="43">
        <v>3787.0735281752354</v>
      </c>
      <c r="L12" s="43">
        <v>3470.5517747671406</v>
      </c>
      <c r="M12" s="43">
        <v>3478.0517747671406</v>
      </c>
      <c r="N12" s="43">
        <v>2943.3282646523767</v>
      </c>
    </row>
    <row r="13" spans="2:14" ht="15.5" x14ac:dyDescent="0.35">
      <c r="C13" s="45" t="s">
        <v>258</v>
      </c>
      <c r="D13" s="46">
        <v>3029.2</v>
      </c>
      <c r="E13" s="46">
        <v>2935.8</v>
      </c>
      <c r="F13" s="46">
        <v>2457.6999999999998</v>
      </c>
      <c r="G13" s="46">
        <v>1969.4</v>
      </c>
      <c r="H13" s="46">
        <v>1608.3</v>
      </c>
      <c r="I13" s="41"/>
      <c r="J13" s="46">
        <v>3029.2</v>
      </c>
      <c r="K13" s="46">
        <v>2935.8</v>
      </c>
      <c r="L13" s="46">
        <v>2457.6999999999998</v>
      </c>
      <c r="M13" s="46">
        <v>2457.6999999999998</v>
      </c>
      <c r="N13" s="46">
        <v>1608.3</v>
      </c>
    </row>
    <row r="14" spans="2:14" ht="15.5" x14ac:dyDescent="0.35">
      <c r="C14" s="45" t="s">
        <v>239</v>
      </c>
      <c r="D14" s="46">
        <v>0</v>
      </c>
      <c r="E14" s="46">
        <v>0</v>
      </c>
      <c r="F14" s="46">
        <v>0</v>
      </c>
      <c r="G14" s="46">
        <v>7.5</v>
      </c>
      <c r="H14" s="46">
        <v>107.8</v>
      </c>
      <c r="I14" s="41"/>
      <c r="J14" s="46">
        <v>0</v>
      </c>
      <c r="K14" s="46">
        <v>0</v>
      </c>
      <c r="L14" s="46">
        <v>0</v>
      </c>
      <c r="M14" s="46">
        <v>7.5</v>
      </c>
      <c r="N14" s="46">
        <v>107.8</v>
      </c>
    </row>
    <row r="15" spans="2:14" ht="15.5" x14ac:dyDescent="0.35">
      <c r="C15" s="45" t="s">
        <v>269</v>
      </c>
      <c r="D15" s="46">
        <v>819.36461723317802</v>
      </c>
      <c r="E15" s="46">
        <v>851.27352817523536</v>
      </c>
      <c r="F15" s="46">
        <v>1012.8517747671409</v>
      </c>
      <c r="G15" s="46">
        <v>1162.15204137569</v>
      </c>
      <c r="H15" s="46">
        <v>1227.2282646523768</v>
      </c>
      <c r="I15" s="41"/>
      <c r="J15" s="46">
        <v>819.36461723317802</v>
      </c>
      <c r="K15" s="46">
        <v>851.27352817523536</v>
      </c>
      <c r="L15" s="46">
        <v>1012.8517747671409</v>
      </c>
      <c r="M15" s="46">
        <v>1012.8517747671409</v>
      </c>
      <c r="N15" s="46">
        <v>1227.2282646523768</v>
      </c>
    </row>
    <row r="16" spans="2:14" ht="15.5" x14ac:dyDescent="0.35">
      <c r="C16" s="47" t="s">
        <v>400</v>
      </c>
      <c r="D16" s="48">
        <v>0</v>
      </c>
      <c r="E16" s="48">
        <v>59.184322123032857</v>
      </c>
      <c r="F16" s="48">
        <v>754.15929136355521</v>
      </c>
      <c r="G16" s="48">
        <v>987.90100800016762</v>
      </c>
      <c r="H16" s="48">
        <v>813.13851703044134</v>
      </c>
      <c r="I16" s="49"/>
      <c r="J16" s="48">
        <v>0</v>
      </c>
      <c r="K16" s="48">
        <v>16.018752960508518</v>
      </c>
      <c r="L16" s="48">
        <v>235.30067519132362</v>
      </c>
      <c r="M16" s="48">
        <v>235.30067519132362</v>
      </c>
      <c r="N16" s="48">
        <v>368.21701989978533</v>
      </c>
    </row>
    <row r="17" spans="3:14" ht="15.5" x14ac:dyDescent="0.35">
      <c r="C17" s="45" t="s">
        <v>261</v>
      </c>
      <c r="D17" s="50">
        <v>0</v>
      </c>
      <c r="E17" s="50">
        <v>37.052321044601214</v>
      </c>
      <c r="F17" s="50">
        <v>436.30144694569299</v>
      </c>
      <c r="G17" s="50">
        <v>541.49171917705803</v>
      </c>
      <c r="H17" s="50">
        <v>406.32287496860749</v>
      </c>
      <c r="I17" s="41"/>
      <c r="J17" s="50">
        <v>0</v>
      </c>
      <c r="K17" s="50">
        <v>26.814061247220987</v>
      </c>
      <c r="L17" s="50">
        <v>322.98250100045982</v>
      </c>
      <c r="M17" s="50">
        <v>322.98250100045982</v>
      </c>
      <c r="N17" s="50">
        <v>367.75100201242941</v>
      </c>
    </row>
    <row r="18" spans="3:14" ht="15.5" x14ac:dyDescent="0.35">
      <c r="C18" s="45" t="s">
        <v>264</v>
      </c>
      <c r="D18" s="50">
        <v>0</v>
      </c>
      <c r="E18" s="50">
        <v>22.132001078431646</v>
      </c>
      <c r="F18" s="50">
        <v>317.85784441786228</v>
      </c>
      <c r="G18" s="50">
        <v>446.40928882310953</v>
      </c>
      <c r="H18" s="50">
        <v>406.8156420618339</v>
      </c>
      <c r="I18" s="41"/>
      <c r="J18" s="50">
        <v>0</v>
      </c>
      <c r="K18" s="50">
        <v>16.018752960508518</v>
      </c>
      <c r="L18" s="50">
        <v>235.30067519132362</v>
      </c>
      <c r="M18" s="50">
        <v>235.30067519132362</v>
      </c>
      <c r="N18" s="50">
        <v>368.21701989978533</v>
      </c>
    </row>
    <row r="19" spans="3:14" ht="15.5" x14ac:dyDescent="0.35">
      <c r="C19" s="51" t="s">
        <v>233</v>
      </c>
      <c r="D19" s="52">
        <v>0</v>
      </c>
      <c r="E19" s="52">
        <v>14.259934957529339</v>
      </c>
      <c r="F19" s="52">
        <v>339.08920458827208</v>
      </c>
      <c r="G19" s="52">
        <v>611.47813791393548</v>
      </c>
      <c r="H19" s="52">
        <v>520.20055622732093</v>
      </c>
      <c r="I19" s="49"/>
      <c r="J19" s="52">
        <v>0</v>
      </c>
      <c r="K19" s="52">
        <v>13.184036124113531</v>
      </c>
      <c r="L19" s="52">
        <v>248.68770185174768</v>
      </c>
      <c r="M19" s="52">
        <v>248.68770185174768</v>
      </c>
      <c r="N19" s="52">
        <v>450.41448603428347</v>
      </c>
    </row>
    <row r="20" spans="3:14" ht="15.5" x14ac:dyDescent="0.35">
      <c r="C20" s="47" t="s">
        <v>401</v>
      </c>
      <c r="D20" s="43">
        <v>113.655209</v>
      </c>
      <c r="E20" s="43">
        <v>532.67969500000004</v>
      </c>
      <c r="F20" s="43">
        <v>613.30132800000001</v>
      </c>
      <c r="G20" s="43">
        <v>607.22545100000002</v>
      </c>
      <c r="H20" s="43">
        <v>648.15584100000001</v>
      </c>
      <c r="I20" s="49"/>
      <c r="J20" s="43">
        <v>113.655209</v>
      </c>
      <c r="K20" s="43">
        <v>532.67969500000004</v>
      </c>
      <c r="L20" s="43">
        <v>613.30132800000001</v>
      </c>
      <c r="M20" s="43">
        <v>613.30132800000001</v>
      </c>
      <c r="N20" s="43">
        <v>648.15584100000001</v>
      </c>
    </row>
    <row r="21" spans="3:14" ht="15.5" x14ac:dyDescent="0.35">
      <c r="C21" s="45" t="s">
        <v>244</v>
      </c>
      <c r="D21" s="46">
        <v>5.4049959999999997</v>
      </c>
      <c r="E21" s="46">
        <v>202.34140500000001</v>
      </c>
      <c r="F21" s="46">
        <v>288.59492699999998</v>
      </c>
      <c r="G21" s="46">
        <v>276.76754</v>
      </c>
      <c r="H21" s="46">
        <v>295.55663600000003</v>
      </c>
      <c r="I21" s="41"/>
      <c r="J21" s="46">
        <v>5.4049959999999997</v>
      </c>
      <c r="K21" s="46">
        <v>202.34140500000001</v>
      </c>
      <c r="L21" s="46">
        <v>288.59492699999998</v>
      </c>
      <c r="M21" s="46">
        <v>288.59492699999998</v>
      </c>
      <c r="N21" s="46">
        <v>295.55663600000003</v>
      </c>
    </row>
    <row r="22" spans="3:14" ht="15.5" x14ac:dyDescent="0.35">
      <c r="C22" s="45" t="s">
        <v>272</v>
      </c>
      <c r="D22" s="46">
        <v>108.250213</v>
      </c>
      <c r="E22" s="46">
        <v>330.33828999999997</v>
      </c>
      <c r="F22" s="46">
        <v>324.70640100000003</v>
      </c>
      <c r="G22" s="46">
        <v>330.45791100000002</v>
      </c>
      <c r="H22" s="46">
        <v>352.59920499999998</v>
      </c>
      <c r="I22" s="41"/>
      <c r="J22" s="46">
        <v>108.250213</v>
      </c>
      <c r="K22" s="46">
        <v>330.33828999999997</v>
      </c>
      <c r="L22" s="46">
        <v>324.70640100000003</v>
      </c>
      <c r="M22" s="46">
        <v>324.70640100000003</v>
      </c>
      <c r="N22" s="46">
        <v>352.59920499999998</v>
      </c>
    </row>
    <row r="23" spans="3:14" ht="15.5" x14ac:dyDescent="0.35">
      <c r="C23" s="51" t="s">
        <v>250</v>
      </c>
      <c r="D23" s="53">
        <v>0</v>
      </c>
      <c r="E23" s="53">
        <v>0</v>
      </c>
      <c r="F23" s="53">
        <v>0.129745</v>
      </c>
      <c r="G23" s="53">
        <v>103.75572099999999</v>
      </c>
      <c r="H23" s="53">
        <v>379.81979000000001</v>
      </c>
      <c r="I23" s="49"/>
      <c r="J23" s="53">
        <v>0</v>
      </c>
      <c r="K23" s="53">
        <v>0</v>
      </c>
      <c r="L23" s="53">
        <v>0.129745</v>
      </c>
      <c r="M23" s="53">
        <v>0.129745</v>
      </c>
      <c r="N23" s="53">
        <v>379.81979000000001</v>
      </c>
    </row>
    <row r="24" spans="3:14" ht="15.5" x14ac:dyDescent="0.35">
      <c r="C24" s="54" t="s">
        <v>402</v>
      </c>
      <c r="D24" s="46">
        <v>62.235411802610422</v>
      </c>
      <c r="E24" s="46">
        <v>61.424311935764642</v>
      </c>
      <c r="F24" s="46">
        <v>62.228905704232254</v>
      </c>
      <c r="G24" s="46">
        <v>0</v>
      </c>
      <c r="H24" s="46">
        <v>0</v>
      </c>
      <c r="I24" s="41"/>
      <c r="J24" s="46">
        <v>62.235411802610422</v>
      </c>
      <c r="K24" s="46">
        <v>61.424311935764642</v>
      </c>
      <c r="L24" s="46">
        <v>62.228905704232254</v>
      </c>
      <c r="M24" s="46">
        <v>62.228905704232254</v>
      </c>
      <c r="N24" s="46">
        <v>54.334536173549523</v>
      </c>
    </row>
    <row r="25" spans="3:14" ht="15.5" x14ac:dyDescent="0.35">
      <c r="C25" s="54" t="s">
        <v>313</v>
      </c>
      <c r="D25" s="46">
        <v>0</v>
      </c>
      <c r="E25" s="46">
        <v>0</v>
      </c>
      <c r="F25" s="46">
        <v>0</v>
      </c>
      <c r="G25" s="46">
        <v>2.2018391666278792</v>
      </c>
      <c r="H25" s="46">
        <v>54.334536173549523</v>
      </c>
      <c r="I25" s="41"/>
      <c r="J25" s="46">
        <v>0</v>
      </c>
      <c r="K25" s="46">
        <v>0</v>
      </c>
      <c r="L25" s="46">
        <v>0</v>
      </c>
      <c r="M25" s="46">
        <v>2.2018391666278792</v>
      </c>
      <c r="N25" s="46">
        <v>54.334536173549523</v>
      </c>
    </row>
    <row r="26" spans="3:14" ht="15.5" x14ac:dyDescent="0.35">
      <c r="C26" s="51" t="s">
        <v>192</v>
      </c>
      <c r="D26" s="53">
        <v>0</v>
      </c>
      <c r="E26" s="55">
        <v>0.28072374346436202</v>
      </c>
      <c r="F26" s="56">
        <v>12.443416444829165</v>
      </c>
      <c r="G26" s="56">
        <v>24.221815299220442</v>
      </c>
      <c r="H26" s="56">
        <v>27.715609427253749</v>
      </c>
      <c r="I26" s="49"/>
      <c r="J26" s="53">
        <v>0</v>
      </c>
      <c r="K26" s="55">
        <v>0.28072374346436202</v>
      </c>
      <c r="L26" s="56">
        <v>12.443416444829165</v>
      </c>
      <c r="M26" s="56">
        <v>24.221815299220442</v>
      </c>
      <c r="N26" s="56">
        <v>27.715609427253749</v>
      </c>
    </row>
    <row r="27" spans="3:14" ht="15.5" x14ac:dyDescent="0.35">
      <c r="C27" s="39" t="s">
        <v>403</v>
      </c>
      <c r="D27" s="40">
        <v>1005.2161197908448</v>
      </c>
      <c r="E27" s="40">
        <v>1029.9135331676171</v>
      </c>
      <c r="F27" s="40">
        <v>1110.9497559788902</v>
      </c>
      <c r="G27" s="40">
        <v>1166.1360568479754</v>
      </c>
      <c r="H27" s="40">
        <v>1194.7146733691518</v>
      </c>
      <c r="I27" s="41"/>
      <c r="J27" s="40">
        <v>1005.2161197908448</v>
      </c>
      <c r="K27" s="40">
        <v>1029.9135331676171</v>
      </c>
      <c r="L27" s="40">
        <v>1110.9497559788902</v>
      </c>
      <c r="M27" s="40">
        <v>1166.1360568479754</v>
      </c>
      <c r="N27" s="40">
        <v>1194.7146733691518</v>
      </c>
    </row>
    <row r="28" spans="3:14" ht="15.5" x14ac:dyDescent="0.35">
      <c r="C28" s="54" t="s">
        <v>181</v>
      </c>
      <c r="D28" s="57">
        <v>536.67129379836297</v>
      </c>
      <c r="E28" s="57">
        <v>512.08323777805685</v>
      </c>
      <c r="F28" s="58">
        <v>561.77286717332424</v>
      </c>
      <c r="G28" s="58">
        <v>581.24752727241753</v>
      </c>
      <c r="H28" s="58">
        <v>588.59579392437695</v>
      </c>
      <c r="I28" s="41"/>
      <c r="J28" s="57">
        <v>536.67129379836297</v>
      </c>
      <c r="K28" s="57">
        <v>512.08323777805685</v>
      </c>
      <c r="L28" s="58">
        <v>561.77286717332424</v>
      </c>
      <c r="M28" s="50">
        <v>581.24752727241753</v>
      </c>
      <c r="N28" s="50">
        <v>588.59579392437695</v>
      </c>
    </row>
    <row r="29" spans="3:14" ht="15.5" x14ac:dyDescent="0.35">
      <c r="C29" s="54" t="s">
        <v>184</v>
      </c>
      <c r="D29" s="57"/>
      <c r="E29" s="57"/>
      <c r="F29" s="58"/>
      <c r="G29" s="58"/>
      <c r="H29" s="58"/>
      <c r="I29" s="41"/>
      <c r="J29" s="57"/>
      <c r="K29" s="57"/>
      <c r="L29" s="58"/>
      <c r="M29" s="50"/>
      <c r="N29" s="50"/>
    </row>
    <row r="30" spans="3:14" ht="15.5" x14ac:dyDescent="0.35">
      <c r="C30" s="47" t="s">
        <v>404</v>
      </c>
      <c r="D30" s="43">
        <v>393.23842866262117</v>
      </c>
      <c r="E30" s="43">
        <v>439.90396268222622</v>
      </c>
      <c r="F30" s="43">
        <v>470.23577969592714</v>
      </c>
      <c r="G30" s="43">
        <v>504.4130758297099</v>
      </c>
      <c r="H30" s="43">
        <v>523.76328360493608</v>
      </c>
      <c r="I30" s="49"/>
      <c r="J30" s="43">
        <v>393.23842866262117</v>
      </c>
      <c r="K30" s="43">
        <v>439.90396268222622</v>
      </c>
      <c r="L30" s="43">
        <v>470.23577969592714</v>
      </c>
      <c r="M30" s="43">
        <v>504.4130758297099</v>
      </c>
      <c r="N30" s="43">
        <v>523.76328360493608</v>
      </c>
    </row>
    <row r="31" spans="3:14" ht="15.5" x14ac:dyDescent="0.35">
      <c r="C31" s="45" t="s">
        <v>177</v>
      </c>
      <c r="D31" s="57">
        <v>188.36372531330261</v>
      </c>
      <c r="E31" s="57">
        <v>245.61216297199385</v>
      </c>
      <c r="F31" s="46">
        <v>280.57169425453725</v>
      </c>
      <c r="G31" s="46">
        <v>333.92381462360771</v>
      </c>
      <c r="H31" s="46">
        <v>355.64108905239283</v>
      </c>
      <c r="I31" s="41"/>
      <c r="J31" s="57">
        <v>188.36372531330261</v>
      </c>
      <c r="K31" s="57">
        <v>245.61216297199385</v>
      </c>
      <c r="L31" s="58">
        <v>280.57169425453725</v>
      </c>
      <c r="M31" s="58">
        <v>333.92381462360771</v>
      </c>
      <c r="N31" s="58">
        <v>355.64108905239283</v>
      </c>
    </row>
    <row r="32" spans="3:14" ht="15.5" x14ac:dyDescent="0.35">
      <c r="C32" s="45" t="s">
        <v>173</v>
      </c>
      <c r="D32" s="57">
        <v>204.87470334931857</v>
      </c>
      <c r="E32" s="57">
        <v>194.29179971023237</v>
      </c>
      <c r="F32" s="46">
        <v>189.66408544138986</v>
      </c>
      <c r="G32" s="46">
        <v>170.48926120610216</v>
      </c>
      <c r="H32" s="46">
        <v>168.12219455254328</v>
      </c>
      <c r="I32" s="41"/>
      <c r="J32" s="57">
        <v>204.87470334931857</v>
      </c>
      <c r="K32" s="57">
        <v>194.29179971023237</v>
      </c>
      <c r="L32" s="58">
        <v>189.66408544138986</v>
      </c>
      <c r="M32" s="58">
        <v>170.48926120610216</v>
      </c>
      <c r="N32" s="58">
        <v>168.12219455254328</v>
      </c>
    </row>
    <row r="33" spans="3:14" ht="15.5" x14ac:dyDescent="0.35">
      <c r="C33" s="51" t="s">
        <v>188</v>
      </c>
      <c r="D33" s="46">
        <v>75.306397329860701</v>
      </c>
      <c r="E33" s="46">
        <v>77.926332707334012</v>
      </c>
      <c r="F33" s="46">
        <v>78.941109109638717</v>
      </c>
      <c r="G33" s="46">
        <v>80.475453745847986</v>
      </c>
      <c r="H33" s="46">
        <v>82.355595839838699</v>
      </c>
      <c r="I33" s="41"/>
      <c r="J33" s="46">
        <v>75.306397329860701</v>
      </c>
      <c r="K33" s="46">
        <v>77.926332707334012</v>
      </c>
      <c r="L33" s="58">
        <v>78.941109109638717</v>
      </c>
      <c r="M33" s="58">
        <v>80.475453745847986</v>
      </c>
      <c r="N33" s="58">
        <v>82.355595839838699</v>
      </c>
    </row>
    <row r="34" spans="3:14" ht="15.5" x14ac:dyDescent="0.35">
      <c r="C34" s="59" t="s">
        <v>405</v>
      </c>
      <c r="D34" s="40">
        <v>269.57473668040217</v>
      </c>
      <c r="E34" s="40">
        <v>302.57052447024535</v>
      </c>
      <c r="F34" s="40">
        <v>398.55682092029417</v>
      </c>
      <c r="G34" s="40">
        <v>486.2177968699832</v>
      </c>
      <c r="H34" s="40">
        <v>604.1229284840598</v>
      </c>
      <c r="I34" s="41"/>
      <c r="J34" s="40">
        <v>269.57473668040217</v>
      </c>
      <c r="K34" s="40">
        <v>302.57052447024535</v>
      </c>
      <c r="L34" s="40">
        <v>398.55682092029417</v>
      </c>
      <c r="M34" s="40">
        <v>486.2177968699832</v>
      </c>
      <c r="N34" s="40">
        <v>604.1229284840598</v>
      </c>
    </row>
    <row r="35" spans="3:14" ht="15.5" x14ac:dyDescent="0.35">
      <c r="C35" s="47" t="s">
        <v>406</v>
      </c>
      <c r="D35" s="60">
        <v>253</v>
      </c>
      <c r="E35" s="60">
        <v>263</v>
      </c>
      <c r="F35" s="60">
        <v>270</v>
      </c>
      <c r="G35" s="60">
        <v>292</v>
      </c>
      <c r="H35" s="60">
        <v>376</v>
      </c>
      <c r="I35" s="44"/>
      <c r="J35" s="60">
        <v>253</v>
      </c>
      <c r="K35" s="60">
        <v>263</v>
      </c>
      <c r="L35" s="60">
        <v>270</v>
      </c>
      <c r="M35" s="60">
        <v>292</v>
      </c>
      <c r="N35" s="60">
        <v>376</v>
      </c>
    </row>
    <row r="36" spans="3:14" ht="15.5" x14ac:dyDescent="0.35">
      <c r="C36" s="51" t="s">
        <v>407</v>
      </c>
      <c r="D36" s="61">
        <v>349.18109999644929</v>
      </c>
      <c r="E36" s="61">
        <v>365.28732737351044</v>
      </c>
      <c r="F36" s="61">
        <v>467.93004816726932</v>
      </c>
      <c r="G36" s="61">
        <v>549.59228627970583</v>
      </c>
      <c r="H36" s="61">
        <v>617.79522143415386</v>
      </c>
      <c r="I36" s="44"/>
      <c r="J36" s="61">
        <v>349.18109999644929</v>
      </c>
      <c r="K36" s="61">
        <v>365.21314188658584</v>
      </c>
      <c r="L36" s="61">
        <v>444.18655364978679</v>
      </c>
      <c r="M36" s="61">
        <v>519.92123011598869</v>
      </c>
      <c r="N36" s="61">
        <v>603.18931274848603</v>
      </c>
    </row>
    <row r="37" spans="3:14" ht="15.5" x14ac:dyDescent="0.35">
      <c r="C37" s="54" t="s">
        <v>122</v>
      </c>
      <c r="D37" s="61">
        <v>25</v>
      </c>
      <c r="E37" s="61">
        <v>34</v>
      </c>
      <c r="F37" s="61">
        <v>38</v>
      </c>
      <c r="G37" s="61">
        <v>28</v>
      </c>
      <c r="H37" s="61">
        <v>26</v>
      </c>
      <c r="I37" s="44"/>
      <c r="J37" s="61">
        <v>25</v>
      </c>
      <c r="K37" s="61">
        <v>34</v>
      </c>
      <c r="L37" s="61">
        <v>38</v>
      </c>
      <c r="M37" s="61">
        <v>28</v>
      </c>
      <c r="N37" s="61">
        <v>26</v>
      </c>
    </row>
    <row r="38" spans="3:14" ht="15.5" x14ac:dyDescent="0.35">
      <c r="C38" s="54" t="s">
        <v>124</v>
      </c>
      <c r="D38" s="61">
        <v>39.181099996449298</v>
      </c>
      <c r="E38" s="61">
        <v>46.014429237499698</v>
      </c>
      <c r="F38" s="61">
        <v>48.413194783662199</v>
      </c>
      <c r="G38" s="61">
        <v>45.428347071495679</v>
      </c>
      <c r="H38" s="61">
        <v>40.848336773154955</v>
      </c>
      <c r="I38" s="44"/>
      <c r="J38" s="61">
        <v>39.181099996449298</v>
      </c>
      <c r="K38" s="61">
        <v>46.014429237499698</v>
      </c>
      <c r="L38" s="61">
        <v>48.413194783662199</v>
      </c>
      <c r="M38" s="61">
        <v>45.428347071495679</v>
      </c>
      <c r="N38" s="61">
        <v>40.848336773154955</v>
      </c>
    </row>
    <row r="39" spans="3:14" ht="15.5" x14ac:dyDescent="0.35">
      <c r="C39" s="54" t="s">
        <v>126</v>
      </c>
      <c r="D39" s="61">
        <v>32</v>
      </c>
      <c r="E39" s="61">
        <v>22</v>
      </c>
      <c r="F39" s="61">
        <v>20</v>
      </c>
      <c r="G39" s="61">
        <v>20</v>
      </c>
      <c r="H39" s="61">
        <v>21</v>
      </c>
      <c r="I39" s="44"/>
      <c r="J39" s="61">
        <v>32</v>
      </c>
      <c r="K39" s="61">
        <v>22</v>
      </c>
      <c r="L39" s="61">
        <v>20</v>
      </c>
      <c r="M39" s="61">
        <v>20</v>
      </c>
      <c r="N39" s="61">
        <v>21</v>
      </c>
    </row>
    <row r="40" spans="3:14" ht="15.5" x14ac:dyDescent="0.35">
      <c r="C40" s="54" t="s">
        <v>118</v>
      </c>
      <c r="D40" s="61">
        <v>0</v>
      </c>
      <c r="E40" s="61">
        <v>0.27289813601074797</v>
      </c>
      <c r="F40" s="61">
        <v>91.516853383607099</v>
      </c>
      <c r="G40" s="61">
        <v>164.16393920821008</v>
      </c>
      <c r="H40" s="61">
        <v>153.94688466099893</v>
      </c>
      <c r="I40" s="44"/>
      <c r="J40" s="61">
        <v>0</v>
      </c>
      <c r="K40" s="61">
        <v>0.19871264908611999</v>
      </c>
      <c r="L40" s="61">
        <v>67.77335886612461</v>
      </c>
      <c r="M40" s="61">
        <v>134.49288304449303</v>
      </c>
      <c r="N40" s="61">
        <v>139.34097597533105</v>
      </c>
    </row>
    <row r="41" spans="3:14" ht="15.5" x14ac:dyDescent="0.35">
      <c r="C41" s="45" t="s">
        <v>102</v>
      </c>
      <c r="D41" s="62">
        <v>0</v>
      </c>
      <c r="E41" s="62">
        <v>0</v>
      </c>
      <c r="F41" s="62">
        <v>0</v>
      </c>
      <c r="G41" s="62">
        <v>2</v>
      </c>
      <c r="H41" s="62">
        <v>47</v>
      </c>
      <c r="I41" s="63"/>
      <c r="J41" s="50">
        <v>0</v>
      </c>
      <c r="K41" s="50">
        <v>0</v>
      </c>
      <c r="L41" s="50">
        <v>0</v>
      </c>
      <c r="M41" s="50">
        <v>2</v>
      </c>
      <c r="N41" s="50">
        <v>47</v>
      </c>
    </row>
    <row r="42" spans="3:14" ht="15.5" x14ac:dyDescent="0.35">
      <c r="C42" s="45" t="s">
        <v>108</v>
      </c>
      <c r="D42" s="62">
        <v>168</v>
      </c>
      <c r="E42" s="62">
        <v>185</v>
      </c>
      <c r="F42" s="62">
        <v>191</v>
      </c>
      <c r="G42" s="62">
        <v>196</v>
      </c>
      <c r="H42" s="62">
        <v>200</v>
      </c>
      <c r="I42" s="63"/>
      <c r="J42" s="62">
        <v>168</v>
      </c>
      <c r="K42" s="62">
        <v>185</v>
      </c>
      <c r="L42" s="62">
        <v>191</v>
      </c>
      <c r="M42" s="62">
        <v>196</v>
      </c>
      <c r="N42" s="62">
        <v>200</v>
      </c>
    </row>
    <row r="43" spans="3:14" ht="15.5" x14ac:dyDescent="0.35">
      <c r="C43" s="45" t="s">
        <v>106</v>
      </c>
      <c r="D43" s="62">
        <v>0</v>
      </c>
      <c r="E43" s="62">
        <v>0</v>
      </c>
      <c r="F43" s="62">
        <v>0</v>
      </c>
      <c r="G43" s="62">
        <v>12</v>
      </c>
      <c r="H43" s="62">
        <v>43</v>
      </c>
      <c r="I43" s="63"/>
      <c r="J43" s="62">
        <v>0</v>
      </c>
      <c r="K43" s="62">
        <v>0</v>
      </c>
      <c r="L43" s="62">
        <v>0</v>
      </c>
      <c r="M43" s="62">
        <v>12</v>
      </c>
      <c r="N43" s="62">
        <v>43</v>
      </c>
    </row>
    <row r="44" spans="3:14" ht="15.5" x14ac:dyDescent="0.35">
      <c r="C44" s="45" t="s">
        <v>110</v>
      </c>
      <c r="D44" s="62">
        <v>85</v>
      </c>
      <c r="E44" s="62">
        <v>78</v>
      </c>
      <c r="F44" s="62">
        <v>79</v>
      </c>
      <c r="G44" s="62">
        <v>82</v>
      </c>
      <c r="H44" s="62">
        <v>86</v>
      </c>
      <c r="I44" s="63"/>
      <c r="J44" s="62">
        <v>85</v>
      </c>
      <c r="K44" s="62">
        <v>78</v>
      </c>
      <c r="L44" s="62">
        <v>79</v>
      </c>
      <c r="M44" s="62">
        <v>82</v>
      </c>
      <c r="N44" s="62">
        <v>86</v>
      </c>
    </row>
    <row r="45" spans="3:14" ht="15.5" x14ac:dyDescent="0.35">
      <c r="C45" s="51" t="s">
        <v>133</v>
      </c>
      <c r="D45" s="62">
        <v>16.574736680402179</v>
      </c>
      <c r="E45" s="62">
        <v>5.43125806572756</v>
      </c>
      <c r="F45" s="62">
        <v>3.1286483413342854</v>
      </c>
      <c r="G45" s="62">
        <v>3.0183640806392917</v>
      </c>
      <c r="H45" s="62">
        <v>3.0756723764310148</v>
      </c>
      <c r="I45" s="63"/>
      <c r="J45" s="62">
        <v>16.574736680402179</v>
      </c>
      <c r="K45" s="62">
        <v>5.43125806572756</v>
      </c>
      <c r="L45" s="62">
        <v>3.1286483413342854</v>
      </c>
      <c r="M45" s="62">
        <v>3.0183640806392917</v>
      </c>
      <c r="N45" s="62">
        <v>3.0756723764310148</v>
      </c>
    </row>
    <row r="46" spans="3:14" ht="15.5" x14ac:dyDescent="0.35">
      <c r="C46" s="51" t="s">
        <v>136</v>
      </c>
      <c r="D46" s="62">
        <v>0</v>
      </c>
      <c r="E46" s="62">
        <v>0</v>
      </c>
      <c r="F46" s="62">
        <v>3</v>
      </c>
      <c r="G46" s="62">
        <v>37</v>
      </c>
      <c r="H46" s="62">
        <v>59</v>
      </c>
      <c r="I46" s="63"/>
      <c r="J46" s="62">
        <v>0</v>
      </c>
      <c r="K46" s="62">
        <v>0</v>
      </c>
      <c r="L46" s="62">
        <v>3</v>
      </c>
      <c r="M46" s="62">
        <v>37</v>
      </c>
      <c r="N46" s="62">
        <v>59</v>
      </c>
    </row>
    <row r="47" spans="3:14" ht="15.5" x14ac:dyDescent="0.35">
      <c r="C47" s="51" t="s">
        <v>130</v>
      </c>
      <c r="D47" s="62">
        <v>0</v>
      </c>
      <c r="E47" s="62">
        <v>0</v>
      </c>
      <c r="F47" s="62">
        <v>0</v>
      </c>
      <c r="G47" s="62">
        <v>32.703786929685833</v>
      </c>
      <c r="H47" s="62">
        <v>151.40736978721301</v>
      </c>
      <c r="I47" s="63"/>
      <c r="J47" s="62">
        <v>0</v>
      </c>
      <c r="K47" s="62">
        <v>0</v>
      </c>
      <c r="L47" s="62">
        <v>0</v>
      </c>
      <c r="M47" s="62">
        <v>26.830210677372229</v>
      </c>
      <c r="N47" s="62">
        <v>137.06261164665472</v>
      </c>
    </row>
    <row r="48" spans="3:14" ht="15.5" x14ac:dyDescent="0.35">
      <c r="C48" s="51" t="s">
        <v>27</v>
      </c>
      <c r="D48" s="62">
        <v>0</v>
      </c>
      <c r="E48" s="62">
        <v>34.139266404517784</v>
      </c>
      <c r="F48" s="62">
        <v>122.42817257895993</v>
      </c>
      <c r="G48" s="62">
        <v>154.19943278934394</v>
      </c>
      <c r="H48" s="62">
        <v>166.04725610762884</v>
      </c>
      <c r="I48" s="63"/>
      <c r="J48" s="62">
        <v>0</v>
      </c>
      <c r="K48" s="62">
        <v>34.139266404517784</v>
      </c>
      <c r="L48" s="62">
        <v>122.42817257895993</v>
      </c>
      <c r="M48" s="62">
        <v>154.19943278934394</v>
      </c>
      <c r="N48" s="62">
        <v>166.04725610762884</v>
      </c>
    </row>
    <row r="49" spans="3:14" ht="15.5" x14ac:dyDescent="0.35">
      <c r="C49" s="39" t="s">
        <v>408</v>
      </c>
      <c r="D49" s="40">
        <v>997.70441121186923</v>
      </c>
      <c r="E49" s="40">
        <v>1033.2353562132903</v>
      </c>
      <c r="F49" s="40">
        <v>1031.1810905878133</v>
      </c>
      <c r="G49" s="40">
        <v>1029.42504570849</v>
      </c>
      <c r="H49" s="40">
        <v>1044.2815593264645</v>
      </c>
      <c r="I49" s="64"/>
      <c r="J49" s="40">
        <v>997.70441121186923</v>
      </c>
      <c r="K49" s="40">
        <v>1033.2353562132903</v>
      </c>
      <c r="L49" s="40">
        <v>1031.1810905878133</v>
      </c>
      <c r="M49" s="40">
        <v>1029.42504570849</v>
      </c>
      <c r="N49" s="40">
        <v>1044.2815593264645</v>
      </c>
    </row>
    <row r="50" spans="3:14" ht="15.5" x14ac:dyDescent="0.35">
      <c r="C50" s="65" t="s">
        <v>55</v>
      </c>
      <c r="D50" s="57">
        <v>465.60136347865676</v>
      </c>
      <c r="E50" s="57">
        <v>481.04855593332945</v>
      </c>
      <c r="F50" s="57">
        <v>469.99495040756415</v>
      </c>
      <c r="G50" s="57">
        <v>456.60364100311915</v>
      </c>
      <c r="H50" s="57">
        <v>458.07737036582603</v>
      </c>
      <c r="I50" s="66"/>
      <c r="J50" s="57">
        <v>465.60136347865676</v>
      </c>
      <c r="K50" s="57">
        <v>481.04855593332945</v>
      </c>
      <c r="L50" s="57">
        <v>469.99495040756415</v>
      </c>
      <c r="M50" s="57">
        <v>456.60364100311915</v>
      </c>
      <c r="N50" s="57">
        <v>458.07737036582603</v>
      </c>
    </row>
    <row r="51" spans="3:14" ht="15.5" x14ac:dyDescent="0.35">
      <c r="C51" s="65" t="s">
        <v>59</v>
      </c>
      <c r="D51" s="57"/>
      <c r="E51" s="57"/>
      <c r="F51" s="57"/>
      <c r="G51" s="57"/>
      <c r="H51" s="57"/>
      <c r="I51" s="66"/>
      <c r="J51" s="57"/>
      <c r="K51" s="57"/>
      <c r="L51" s="57"/>
      <c r="M51" s="57"/>
      <c r="N51" s="57"/>
    </row>
    <row r="52" spans="3:14" ht="15.5" x14ac:dyDescent="0.35">
      <c r="C52" s="65" t="s">
        <v>216</v>
      </c>
      <c r="D52" s="57">
        <v>532.10304773321252</v>
      </c>
      <c r="E52" s="57">
        <v>552.18680027996095</v>
      </c>
      <c r="F52" s="57">
        <v>561.18614018024903</v>
      </c>
      <c r="G52" s="57">
        <v>572.82140470537092</v>
      </c>
      <c r="H52" s="57">
        <v>586.20418896063848</v>
      </c>
      <c r="I52" s="66"/>
      <c r="J52" s="57">
        <v>532.10304773321252</v>
      </c>
      <c r="K52" s="57">
        <v>552.18680027996095</v>
      </c>
      <c r="L52" s="57">
        <v>561.18614018024903</v>
      </c>
      <c r="M52" s="57">
        <v>572.82140470537092</v>
      </c>
      <c r="N52" s="57">
        <v>586.20418896063848</v>
      </c>
    </row>
    <row r="53" spans="3:14" ht="15.5" x14ac:dyDescent="0.35">
      <c r="C53" s="39" t="s">
        <v>409</v>
      </c>
      <c r="D53" s="40">
        <v>108.02771693546214</v>
      </c>
      <c r="E53" s="40">
        <v>136.18098452231885</v>
      </c>
      <c r="F53" s="40">
        <v>238.52795446851661</v>
      </c>
      <c r="G53" s="40">
        <v>750.11020253008371</v>
      </c>
      <c r="H53" s="40">
        <v>1217.6364497899835</v>
      </c>
      <c r="I53" s="64"/>
      <c r="J53" s="40">
        <v>108.02771693546214</v>
      </c>
      <c r="K53" s="40">
        <v>130.87429728855949</v>
      </c>
      <c r="L53" s="40">
        <v>212.62088673893192</v>
      </c>
      <c r="M53" s="40">
        <v>702.93543814904478</v>
      </c>
      <c r="N53" s="40">
        <v>1182.8714800854998</v>
      </c>
    </row>
    <row r="54" spans="3:14" ht="15.5" x14ac:dyDescent="0.35">
      <c r="C54" s="54" t="s">
        <v>149</v>
      </c>
      <c r="D54" s="57">
        <v>786.87028897393179</v>
      </c>
      <c r="E54" s="57">
        <v>869.42157164100388</v>
      </c>
      <c r="F54" s="67">
        <v>923.05852229579466</v>
      </c>
      <c r="G54" s="67">
        <v>1038.55883974843</v>
      </c>
      <c r="H54" s="67">
        <v>1171.4424163357019</v>
      </c>
      <c r="I54" s="58"/>
      <c r="J54" s="57">
        <v>786.87028897393179</v>
      </c>
      <c r="K54" s="57">
        <v>869.42157164100388</v>
      </c>
      <c r="L54" s="58">
        <v>923.05852229579466</v>
      </c>
      <c r="M54" s="58">
        <v>1038.55883974843</v>
      </c>
      <c r="N54" s="58">
        <v>1171.4424163357019</v>
      </c>
    </row>
    <row r="55" spans="3:14" ht="15.5" x14ac:dyDescent="0.35">
      <c r="C55" s="54" t="s">
        <v>153</v>
      </c>
      <c r="D55" s="57"/>
      <c r="E55" s="57"/>
      <c r="F55" s="67"/>
      <c r="G55" s="67"/>
      <c r="H55" s="67"/>
      <c r="I55" s="64"/>
      <c r="J55" s="57"/>
      <c r="K55" s="57"/>
      <c r="L55" s="58"/>
      <c r="M55" s="58"/>
      <c r="N55" s="58"/>
    </row>
    <row r="56" spans="3:14" ht="15.5" x14ac:dyDescent="0.35">
      <c r="C56" s="47" t="s">
        <v>410</v>
      </c>
      <c r="D56" s="48">
        <v>0</v>
      </c>
      <c r="E56" s="48">
        <v>19.165826912092712</v>
      </c>
      <c r="F56" s="48">
        <v>99.747279020230337</v>
      </c>
      <c r="G56" s="48">
        <v>261.30326570812298</v>
      </c>
      <c r="H56" s="48">
        <v>366.65475240220184</v>
      </c>
      <c r="I56" s="68"/>
      <c r="J56" s="48">
        <v>0</v>
      </c>
      <c r="K56" s="48">
        <v>13.859139678333355</v>
      </c>
      <c r="L56" s="48">
        <v>73.840211290645669</v>
      </c>
      <c r="M56" s="48">
        <v>214.12850132708408</v>
      </c>
      <c r="N56" s="48">
        <v>331.88978269771792</v>
      </c>
    </row>
    <row r="57" spans="3:14" ht="15.5" x14ac:dyDescent="0.35">
      <c r="C57" s="45" t="s">
        <v>143</v>
      </c>
      <c r="D57" s="50">
        <v>0</v>
      </c>
      <c r="E57" s="50">
        <v>19.165826912092712</v>
      </c>
      <c r="F57" s="50">
        <v>90.550097976097476</v>
      </c>
      <c r="G57" s="50">
        <v>97.437380665293276</v>
      </c>
      <c r="H57" s="50">
        <v>82.050420904179362</v>
      </c>
      <c r="I57" s="41"/>
      <c r="J57" s="58">
        <v>0</v>
      </c>
      <c r="K57" s="58">
        <v>13.859139678333355</v>
      </c>
      <c r="L57" s="58">
        <v>67.013854553699531</v>
      </c>
      <c r="M57" s="58">
        <v>79.821159522940661</v>
      </c>
      <c r="N57" s="58">
        <v>74.265156080735352</v>
      </c>
    </row>
    <row r="58" spans="3:14" ht="15.5" x14ac:dyDescent="0.35">
      <c r="C58" s="45" t="s">
        <v>146</v>
      </c>
      <c r="D58" s="50">
        <v>0</v>
      </c>
      <c r="E58" s="50">
        <v>0</v>
      </c>
      <c r="F58" s="50">
        <v>9.1971810441328596</v>
      </c>
      <c r="G58" s="50">
        <v>163.86588504282972</v>
      </c>
      <c r="H58" s="50">
        <v>284.60433149802247</v>
      </c>
      <c r="I58" s="41"/>
      <c r="J58" s="58">
        <v>0</v>
      </c>
      <c r="K58" s="58">
        <v>0</v>
      </c>
      <c r="L58" s="58">
        <v>6.8263567369461366</v>
      </c>
      <c r="M58" s="58">
        <v>134.30734180414342</v>
      </c>
      <c r="N58" s="58">
        <v>257.6246266169826</v>
      </c>
    </row>
    <row r="59" spans="3:14" ht="15.5" x14ac:dyDescent="0.35">
      <c r="C59" s="69" t="s">
        <v>156</v>
      </c>
      <c r="D59" s="57">
        <v>0</v>
      </c>
      <c r="E59" s="57">
        <v>0</v>
      </c>
      <c r="F59" s="57">
        <v>18.803910788811418</v>
      </c>
      <c r="G59" s="57">
        <v>327.65060880767379</v>
      </c>
      <c r="H59" s="57">
        <v>608.45067609473142</v>
      </c>
      <c r="I59" s="66"/>
      <c r="J59" s="57">
        <v>0</v>
      </c>
      <c r="K59" s="57">
        <v>0</v>
      </c>
      <c r="L59" s="46">
        <v>18.803910788811418</v>
      </c>
      <c r="M59" s="46">
        <v>327.65060880767379</v>
      </c>
      <c r="N59" s="46">
        <v>608.45067609473142</v>
      </c>
    </row>
    <row r="60" spans="3:14" ht="15.5" x14ac:dyDescent="0.35">
      <c r="C60" s="69" t="s">
        <v>64</v>
      </c>
      <c r="D60" s="57">
        <v>108.02771693546214</v>
      </c>
      <c r="E60" s="57">
        <v>117.01515761022613</v>
      </c>
      <c r="F60" s="57">
        <v>119.97676465947484</v>
      </c>
      <c r="G60" s="57">
        <v>161.15632801428697</v>
      </c>
      <c r="H60" s="57">
        <v>242.5310212930504</v>
      </c>
      <c r="I60" s="66"/>
      <c r="J60" s="57">
        <v>108.02771693546214</v>
      </c>
      <c r="K60" s="57">
        <v>117.01515761022613</v>
      </c>
      <c r="L60" s="46">
        <v>119.97676465947484</v>
      </c>
      <c r="M60" s="46">
        <v>161.15632801428697</v>
      </c>
      <c r="N60" s="46">
        <v>242.5310212930504</v>
      </c>
    </row>
    <row r="61" spans="3:14" ht="15.5" x14ac:dyDescent="0.35">
      <c r="C61" s="39" t="s">
        <v>411</v>
      </c>
      <c r="D61" s="40">
        <v>108</v>
      </c>
      <c r="E61" s="40">
        <v>137</v>
      </c>
      <c r="F61" s="40">
        <v>154.48181694236982</v>
      </c>
      <c r="G61" s="40">
        <v>161.0551509707862</v>
      </c>
      <c r="H61" s="40">
        <v>161.0551509707862</v>
      </c>
      <c r="I61" s="64"/>
      <c r="J61" s="40">
        <v>108</v>
      </c>
      <c r="K61" s="40">
        <v>137</v>
      </c>
      <c r="L61" s="40">
        <v>154.48181694236982</v>
      </c>
      <c r="M61" s="40">
        <v>161.0551509707862</v>
      </c>
      <c r="N61" s="40">
        <v>161.0551509707862</v>
      </c>
    </row>
    <row r="62" spans="3:14" ht="15.5" x14ac:dyDescent="0.35">
      <c r="C62" s="42" t="s">
        <v>163</v>
      </c>
      <c r="D62" s="70">
        <v>108</v>
      </c>
      <c r="E62" s="70">
        <v>137</v>
      </c>
      <c r="F62" s="70">
        <v>154.48181694236982</v>
      </c>
      <c r="G62" s="70">
        <v>161.0551509707862</v>
      </c>
      <c r="H62" s="70">
        <v>161.0551509707862</v>
      </c>
      <c r="I62" s="68"/>
      <c r="J62" s="70">
        <v>108</v>
      </c>
      <c r="K62" s="70">
        <v>137</v>
      </c>
      <c r="L62" s="70">
        <v>154.48181694236982</v>
      </c>
      <c r="M62" s="70">
        <v>161.0551509707862</v>
      </c>
      <c r="N62" s="70">
        <v>161.0551509707862</v>
      </c>
    </row>
    <row r="63" spans="3:14" ht="15.5" x14ac:dyDescent="0.35">
      <c r="C63" s="71" t="s">
        <v>359</v>
      </c>
      <c r="D63" s="57">
        <v>81.792748681008291</v>
      </c>
      <c r="E63" s="57">
        <v>102.21631253839048</v>
      </c>
      <c r="F63" s="57">
        <v>113.46597406914174</v>
      </c>
      <c r="G63" s="57">
        <v>119.57647621524693</v>
      </c>
      <c r="H63" s="57">
        <v>122.51742028327153</v>
      </c>
      <c r="I63" s="66"/>
      <c r="J63" s="57">
        <v>81.792748681008291</v>
      </c>
      <c r="K63" s="57">
        <v>102.21631253839048</v>
      </c>
      <c r="L63" s="57">
        <v>113.46597406914174</v>
      </c>
      <c r="M63" s="57">
        <v>119.57647621524693</v>
      </c>
      <c r="N63" s="57">
        <v>122.51742028327153</v>
      </c>
    </row>
    <row r="64" spans="3:14" ht="15.5" x14ac:dyDescent="0.35">
      <c r="C64" s="71" t="s">
        <v>360</v>
      </c>
      <c r="D64" s="57">
        <v>6.7805299680730995</v>
      </c>
      <c r="E64" s="57">
        <v>8.1181123628391596</v>
      </c>
      <c r="F64" s="57">
        <v>8.4256936249791607</v>
      </c>
      <c r="G64" s="57">
        <v>8.5894602348689997</v>
      </c>
      <c r="H64" s="57">
        <v>8.7901351612041587</v>
      </c>
      <c r="I64" s="66"/>
      <c r="J64" s="57">
        <v>6.7805299680730995</v>
      </c>
      <c r="K64" s="57">
        <v>8.1181123628391596</v>
      </c>
      <c r="L64" s="57">
        <v>8.4256936249791607</v>
      </c>
      <c r="M64" s="57">
        <v>8.5894602348689997</v>
      </c>
      <c r="N64" s="57">
        <v>8.7901351612041587</v>
      </c>
    </row>
    <row r="65" spans="3:14" ht="15.5" x14ac:dyDescent="0.35">
      <c r="C65" s="59" t="s">
        <v>412</v>
      </c>
      <c r="D65" s="40">
        <v>3005.8145031744116</v>
      </c>
      <c r="E65" s="40">
        <v>3620.0570660871767</v>
      </c>
      <c r="F65" s="40">
        <v>4306.4849845313029</v>
      </c>
      <c r="G65" s="40">
        <v>4938.2112624459915</v>
      </c>
      <c r="H65" s="40">
        <v>5127.3845231743626</v>
      </c>
      <c r="I65" s="64"/>
      <c r="J65" s="40">
        <v>2864.3145031744116</v>
      </c>
      <c r="K65" s="40">
        <v>3435.0570660871767</v>
      </c>
      <c r="L65" s="40">
        <v>4122.9849845313029</v>
      </c>
      <c r="M65" s="40">
        <v>4838.7112624459915</v>
      </c>
      <c r="N65" s="40">
        <v>5085.3845231743626</v>
      </c>
    </row>
    <row r="66" spans="3:14" ht="15.5" x14ac:dyDescent="0.35">
      <c r="C66" s="47" t="s">
        <v>413</v>
      </c>
      <c r="D66" s="48">
        <v>430.8347769714419</v>
      </c>
      <c r="E66" s="48">
        <v>696.73702927557963</v>
      </c>
      <c r="F66" s="48">
        <v>1000.0074263533513</v>
      </c>
      <c r="G66" s="48">
        <v>1107.5645854522575</v>
      </c>
      <c r="H66" s="48">
        <v>1134.1976811645329</v>
      </c>
      <c r="I66" s="66"/>
      <c r="J66" s="48">
        <v>430.8347769714419</v>
      </c>
      <c r="K66" s="48">
        <v>696.73702927557963</v>
      </c>
      <c r="L66" s="48">
        <v>1000.0074263533513</v>
      </c>
      <c r="M66" s="48">
        <v>1107.5645854522575</v>
      </c>
      <c r="N66" s="48">
        <v>1134.1976811645329</v>
      </c>
    </row>
    <row r="67" spans="3:14" ht="15.5" x14ac:dyDescent="0.35">
      <c r="C67" s="45" t="s">
        <v>336</v>
      </c>
      <c r="D67" s="46">
        <v>34.002588036138448</v>
      </c>
      <c r="E67" s="46">
        <v>297.63515415904652</v>
      </c>
      <c r="F67" s="46">
        <v>356.66703208096573</v>
      </c>
      <c r="G67" s="46">
        <v>318.20275021007421</v>
      </c>
      <c r="H67" s="46">
        <v>310.65482044552306</v>
      </c>
      <c r="I67" s="64"/>
      <c r="J67" s="46">
        <v>34.002588036138448</v>
      </c>
      <c r="K67" s="46">
        <v>297.63515415904652</v>
      </c>
      <c r="L67" s="46">
        <v>356.66703208096573</v>
      </c>
      <c r="M67" s="46">
        <v>318.20275021007421</v>
      </c>
      <c r="N67" s="46">
        <v>310.65482044552306</v>
      </c>
    </row>
    <row r="68" spans="3:14" ht="15.5" x14ac:dyDescent="0.35">
      <c r="C68" s="45" t="s">
        <v>197</v>
      </c>
      <c r="D68" s="46">
        <v>0</v>
      </c>
      <c r="E68" s="46">
        <v>52.925188862279327</v>
      </c>
      <c r="F68" s="46">
        <v>380.19605391765077</v>
      </c>
      <c r="G68" s="46">
        <v>574.12190163170362</v>
      </c>
      <c r="H68" s="46">
        <v>621.28758386906497</v>
      </c>
      <c r="I68" s="64"/>
      <c r="J68" s="46">
        <v>0</v>
      </c>
      <c r="K68" s="46">
        <v>52.925188862279327</v>
      </c>
      <c r="L68" s="46">
        <v>380.19605391765077</v>
      </c>
      <c r="M68" s="46">
        <v>574.12190163170362</v>
      </c>
      <c r="N68" s="46">
        <v>621.28758386906497</v>
      </c>
    </row>
    <row r="69" spans="3:14" ht="15.5" x14ac:dyDescent="0.35">
      <c r="C69" s="45" t="s">
        <v>200</v>
      </c>
      <c r="D69" s="46">
        <v>396.83218893530346</v>
      </c>
      <c r="E69" s="46">
        <v>346.17668625425381</v>
      </c>
      <c r="F69" s="46">
        <v>263.14434035473482</v>
      </c>
      <c r="G69" s="46">
        <v>215.2399336104796</v>
      </c>
      <c r="H69" s="46">
        <v>202.25527684994495</v>
      </c>
      <c r="I69" s="64"/>
      <c r="J69" s="46">
        <v>396.83218893530346</v>
      </c>
      <c r="K69" s="46">
        <v>346.17668625425381</v>
      </c>
      <c r="L69" s="46">
        <v>263.14434035473482</v>
      </c>
      <c r="M69" s="46">
        <v>215.2399336104796</v>
      </c>
      <c r="N69" s="46">
        <v>202.25527684994495</v>
      </c>
    </row>
    <row r="70" spans="3:14" ht="15.5" x14ac:dyDescent="0.35">
      <c r="C70" s="47" t="s">
        <v>414</v>
      </c>
      <c r="D70" s="48">
        <v>0</v>
      </c>
      <c r="E70" s="48">
        <v>0.33204299999999998</v>
      </c>
      <c r="F70" s="48">
        <v>125.195902</v>
      </c>
      <c r="G70" s="48">
        <v>359.257541</v>
      </c>
      <c r="H70" s="48">
        <v>554.30921000000001</v>
      </c>
      <c r="I70" s="66"/>
      <c r="J70" s="48">
        <v>0</v>
      </c>
      <c r="K70" s="48">
        <v>0.33204299999999998</v>
      </c>
      <c r="L70" s="48">
        <v>125.195902</v>
      </c>
      <c r="M70" s="48">
        <v>359.257541</v>
      </c>
      <c r="N70" s="48">
        <v>554.30921000000001</v>
      </c>
    </row>
    <row r="71" spans="3:14" ht="15.5" x14ac:dyDescent="0.35">
      <c r="C71" s="72" t="s">
        <v>205</v>
      </c>
      <c r="D71" s="46">
        <v>0</v>
      </c>
      <c r="E71" s="46">
        <v>0</v>
      </c>
      <c r="F71" s="46">
        <v>0</v>
      </c>
      <c r="G71" s="46">
        <v>0</v>
      </c>
      <c r="H71" s="46">
        <v>34.675494</v>
      </c>
      <c r="I71" s="66"/>
      <c r="J71" s="46">
        <v>0</v>
      </c>
      <c r="K71" s="46">
        <v>0</v>
      </c>
      <c r="L71" s="46">
        <v>0</v>
      </c>
      <c r="M71" s="46">
        <v>0</v>
      </c>
      <c r="N71" s="46">
        <v>34.675494</v>
      </c>
    </row>
    <row r="72" spans="3:14" ht="15.5" x14ac:dyDescent="0.35">
      <c r="C72" s="72" t="s">
        <v>415</v>
      </c>
      <c r="D72" s="46">
        <v>0</v>
      </c>
      <c r="E72" s="46">
        <v>0.33204299999999998</v>
      </c>
      <c r="F72" s="46">
        <v>125.195902</v>
      </c>
      <c r="G72" s="46">
        <v>359.257541</v>
      </c>
      <c r="H72" s="46">
        <v>519.63371600000005</v>
      </c>
      <c r="I72" s="66"/>
      <c r="J72" s="46">
        <v>0</v>
      </c>
      <c r="K72" s="46">
        <v>0.33204299999999998</v>
      </c>
      <c r="L72" s="46">
        <v>125.195902</v>
      </c>
      <c r="M72" s="46">
        <v>359.257541</v>
      </c>
      <c r="N72" s="46">
        <v>519.63371600000005</v>
      </c>
    </row>
    <row r="73" spans="3:14" ht="15.5" x14ac:dyDescent="0.35">
      <c r="C73" s="72" t="s">
        <v>348</v>
      </c>
      <c r="D73" s="46">
        <v>0</v>
      </c>
      <c r="E73" s="46">
        <v>0.33204299999999998</v>
      </c>
      <c r="F73" s="46">
        <v>121.04648899999999</v>
      </c>
      <c r="G73" s="46">
        <v>207.50244699999999</v>
      </c>
      <c r="H73" s="46">
        <v>194.780372</v>
      </c>
      <c r="I73" s="66"/>
      <c r="J73" s="46">
        <v>0</v>
      </c>
      <c r="K73" s="46">
        <v>0.33204299999999998</v>
      </c>
      <c r="L73" s="46">
        <v>121.04648899999999</v>
      </c>
      <c r="M73" s="46">
        <v>207.50244699999999</v>
      </c>
      <c r="N73" s="46">
        <v>194.780372</v>
      </c>
    </row>
    <row r="74" spans="3:14" ht="15.5" x14ac:dyDescent="0.35">
      <c r="C74" s="72" t="s">
        <v>349</v>
      </c>
      <c r="D74" s="46">
        <v>0</v>
      </c>
      <c r="E74" s="46">
        <v>0</v>
      </c>
      <c r="F74" s="46">
        <v>3.3730169999999999</v>
      </c>
      <c r="G74" s="46">
        <v>57.856475000000003</v>
      </c>
      <c r="H74" s="46">
        <v>95.460638000000003</v>
      </c>
      <c r="I74" s="66"/>
      <c r="J74" s="46">
        <v>0</v>
      </c>
      <c r="K74" s="46">
        <v>0</v>
      </c>
      <c r="L74" s="46">
        <v>3.3730169999999999</v>
      </c>
      <c r="M74" s="46">
        <v>57.856475000000003</v>
      </c>
      <c r="N74" s="46">
        <v>95.460638000000003</v>
      </c>
    </row>
    <row r="75" spans="3:14" ht="15.5" x14ac:dyDescent="0.35">
      <c r="C75" s="72" t="s">
        <v>350</v>
      </c>
      <c r="D75" s="46">
        <v>0</v>
      </c>
      <c r="E75" s="46">
        <v>0</v>
      </c>
      <c r="F75" s="46">
        <v>0.77639599999999998</v>
      </c>
      <c r="G75" s="46">
        <v>93.898618999999997</v>
      </c>
      <c r="H75" s="46">
        <v>229.392706</v>
      </c>
      <c r="I75" s="66"/>
      <c r="J75" s="46">
        <v>0</v>
      </c>
      <c r="K75" s="46">
        <v>0</v>
      </c>
      <c r="L75" s="46">
        <v>0.77639599999999998</v>
      </c>
      <c r="M75" s="46">
        <v>93.898618999999997</v>
      </c>
      <c r="N75" s="46">
        <v>229.392706</v>
      </c>
    </row>
    <row r="76" spans="3:14" ht="15.5" x14ac:dyDescent="0.35">
      <c r="C76" s="73" t="s">
        <v>361</v>
      </c>
      <c r="D76" s="48">
        <v>338</v>
      </c>
      <c r="E76" s="48">
        <v>370</v>
      </c>
      <c r="F76" s="48">
        <v>509.00679268892657</v>
      </c>
      <c r="G76" s="48">
        <v>889.60999848813617</v>
      </c>
      <c r="H76" s="48">
        <v>889.60999848813617</v>
      </c>
      <c r="I76" s="66"/>
      <c r="J76" s="48">
        <v>338</v>
      </c>
      <c r="K76" s="48">
        <v>370</v>
      </c>
      <c r="L76" s="48">
        <v>509.00679268892657</v>
      </c>
      <c r="M76" s="48">
        <v>889.60999848813617</v>
      </c>
      <c r="N76" s="48">
        <v>889.60999848813617</v>
      </c>
    </row>
    <row r="77" spans="3:14" ht="15.5" x14ac:dyDescent="0.35">
      <c r="C77" s="71" t="s">
        <v>222</v>
      </c>
      <c r="D77" s="46">
        <v>0</v>
      </c>
      <c r="E77" s="46">
        <v>0</v>
      </c>
      <c r="F77" s="46">
        <v>25.741962600564584</v>
      </c>
      <c r="G77" s="46">
        <v>428.62929662065051</v>
      </c>
      <c r="H77" s="46">
        <v>856.51204074706993</v>
      </c>
      <c r="I77" s="66"/>
      <c r="J77" s="46">
        <v>0</v>
      </c>
      <c r="K77" s="46">
        <v>0</v>
      </c>
      <c r="L77" s="46">
        <v>25.741962600564584</v>
      </c>
      <c r="M77" s="46">
        <v>428.62929662065051</v>
      </c>
      <c r="N77" s="46">
        <v>856.51204074706993</v>
      </c>
    </row>
    <row r="78" spans="3:14" ht="15.5" x14ac:dyDescent="0.35">
      <c r="C78" s="71" t="s">
        <v>225</v>
      </c>
      <c r="D78" s="46">
        <v>0</v>
      </c>
      <c r="E78" s="46">
        <v>0</v>
      </c>
      <c r="F78" s="46">
        <v>4.418649838652196</v>
      </c>
      <c r="G78" s="46">
        <v>105.49088514641248</v>
      </c>
      <c r="H78" s="46">
        <v>261.75013383866201</v>
      </c>
      <c r="I78" s="66"/>
      <c r="J78" s="46">
        <v>0</v>
      </c>
      <c r="K78" s="46">
        <v>0</v>
      </c>
      <c r="L78" s="46">
        <v>4.418649838652196</v>
      </c>
      <c r="M78" s="46">
        <v>105.49088514641248</v>
      </c>
      <c r="N78" s="46">
        <v>261.75013383866201</v>
      </c>
    </row>
    <row r="79" spans="3:14" ht="15.5" x14ac:dyDescent="0.35">
      <c r="C79" s="71" t="s">
        <v>227</v>
      </c>
      <c r="D79" s="46">
        <v>259.42257182194209</v>
      </c>
      <c r="E79" s="46">
        <v>281.17057883720292</v>
      </c>
      <c r="F79" s="46">
        <v>279.10125178966882</v>
      </c>
      <c r="G79" s="46">
        <v>291.60198176207177</v>
      </c>
      <c r="H79" s="46">
        <v>332.19413776499317</v>
      </c>
      <c r="I79" s="66"/>
      <c r="J79" s="46">
        <v>259.42257182194209</v>
      </c>
      <c r="K79" s="46">
        <v>281.17057883720292</v>
      </c>
      <c r="L79" s="46">
        <v>279.10125178966882</v>
      </c>
      <c r="M79" s="46">
        <v>291.60198176207177</v>
      </c>
      <c r="N79" s="46">
        <v>332.19413776499317</v>
      </c>
    </row>
    <row r="80" spans="3:14" ht="15.5" x14ac:dyDescent="0.35">
      <c r="C80" s="73" t="s">
        <v>416</v>
      </c>
      <c r="D80" s="48">
        <v>1330.544856366226</v>
      </c>
      <c r="E80" s="48">
        <v>1412.6497108225085</v>
      </c>
      <c r="F80" s="48">
        <v>1443.121231970717</v>
      </c>
      <c r="G80" s="48">
        <v>1473.4857806460302</v>
      </c>
      <c r="H80" s="48">
        <v>1516.6190382053492</v>
      </c>
      <c r="I80" s="74"/>
      <c r="J80" s="48">
        <v>1330.544856366226</v>
      </c>
      <c r="K80" s="48">
        <v>1412.6497108225085</v>
      </c>
      <c r="L80" s="48">
        <v>1443.121231970717</v>
      </c>
      <c r="M80" s="48">
        <v>1473.4857806460302</v>
      </c>
      <c r="N80" s="48">
        <v>1516.6190382053492</v>
      </c>
    </row>
    <row r="81" spans="3:14" ht="15.5" x14ac:dyDescent="0.35">
      <c r="C81" s="75" t="s">
        <v>417</v>
      </c>
      <c r="D81" s="46">
        <v>931.10998652948217</v>
      </c>
      <c r="E81" s="46">
        <v>939.31142783342023</v>
      </c>
      <c r="F81" s="46">
        <v>919.96760045240876</v>
      </c>
      <c r="G81" s="46">
        <v>915.19242378646334</v>
      </c>
      <c r="H81" s="46">
        <v>924.97044288900531</v>
      </c>
      <c r="I81" s="64"/>
      <c r="J81" s="46">
        <v>931.10998652948217</v>
      </c>
      <c r="K81" s="46">
        <v>939.31142783342023</v>
      </c>
      <c r="L81" s="46">
        <v>919.96760045240876</v>
      </c>
      <c r="M81" s="46">
        <v>915.19242378646334</v>
      </c>
      <c r="N81" s="46">
        <v>924.97044288900531</v>
      </c>
    </row>
    <row r="82" spans="3:14" ht="15.5" x14ac:dyDescent="0.35">
      <c r="C82" s="76" t="s">
        <v>418</v>
      </c>
      <c r="D82" s="46">
        <v>707</v>
      </c>
      <c r="E82" s="46">
        <v>642</v>
      </c>
      <c r="F82" s="46">
        <v>581</v>
      </c>
      <c r="G82" s="46">
        <v>564</v>
      </c>
      <c r="H82" s="46">
        <v>568</v>
      </c>
      <c r="I82" s="64"/>
      <c r="J82" s="46">
        <v>707</v>
      </c>
      <c r="K82" s="46">
        <v>642</v>
      </c>
      <c r="L82" s="46">
        <v>581</v>
      </c>
      <c r="M82" s="46">
        <v>581</v>
      </c>
      <c r="N82" s="46">
        <v>568</v>
      </c>
    </row>
    <row r="83" spans="3:14" ht="15.5" x14ac:dyDescent="0.35">
      <c r="C83" s="77" t="s">
        <v>291</v>
      </c>
      <c r="D83" s="62">
        <v>507</v>
      </c>
      <c r="E83" s="62">
        <v>667</v>
      </c>
      <c r="F83" s="62">
        <v>706</v>
      </c>
      <c r="G83" s="62">
        <v>550</v>
      </c>
      <c r="H83" s="62">
        <v>441</v>
      </c>
      <c r="I83" s="41"/>
      <c r="J83" s="78">
        <v>365.5</v>
      </c>
      <c r="K83" s="78">
        <v>482</v>
      </c>
      <c r="L83" s="78">
        <v>522.5</v>
      </c>
      <c r="M83" s="78">
        <v>450.5</v>
      </c>
      <c r="N83" s="78">
        <v>399</v>
      </c>
    </row>
    <row r="84" spans="3:14" ht="15.5" x14ac:dyDescent="0.35">
      <c r="C84" s="51" t="s">
        <v>351</v>
      </c>
      <c r="D84" s="46">
        <v>399.43486983674376</v>
      </c>
      <c r="E84" s="46">
        <v>473.33828298908827</v>
      </c>
      <c r="F84" s="62">
        <v>523.1536315183082</v>
      </c>
      <c r="G84" s="62">
        <v>558.29335685956687</v>
      </c>
      <c r="H84" s="62">
        <v>591.64859531634397</v>
      </c>
      <c r="I84" s="79"/>
      <c r="J84" s="46">
        <v>399.43486983674376</v>
      </c>
      <c r="K84" s="46">
        <v>473.33828298908827</v>
      </c>
      <c r="L84" s="46">
        <v>523.1536315183082</v>
      </c>
      <c r="M84" s="46">
        <v>558.29335685956687</v>
      </c>
      <c r="N84" s="46">
        <v>591.64859531634397</v>
      </c>
    </row>
    <row r="85" spans="3:14" ht="15.5" x14ac:dyDescent="0.35">
      <c r="C85" s="59" t="s">
        <v>419</v>
      </c>
      <c r="D85" s="40"/>
      <c r="E85" s="40"/>
      <c r="F85" s="40"/>
      <c r="G85" s="40"/>
      <c r="H85" s="40"/>
      <c r="I85" s="64"/>
      <c r="J85" s="40"/>
      <c r="K85" s="40"/>
      <c r="L85" s="40"/>
      <c r="M85" s="40"/>
      <c r="N85" s="40"/>
    </row>
    <row r="86" spans="3:14" ht="15.5" x14ac:dyDescent="0.35">
      <c r="C86" s="69" t="s">
        <v>325</v>
      </c>
      <c r="D86" s="46">
        <v>345.14522081402066</v>
      </c>
      <c r="E86" s="46">
        <v>295.4512574119363</v>
      </c>
      <c r="F86" s="46">
        <v>267.5042384736139</v>
      </c>
      <c r="G86" s="46">
        <v>262.90258113437875</v>
      </c>
      <c r="H86" s="46">
        <v>255.7752151313739</v>
      </c>
      <c r="I86" s="66"/>
      <c r="J86" s="46">
        <v>345.14522081402066</v>
      </c>
      <c r="K86" s="46">
        <v>295.4512574119363</v>
      </c>
      <c r="L86" s="46">
        <v>267.5042384736139</v>
      </c>
      <c r="M86" s="46">
        <v>262.90258113437875</v>
      </c>
      <c r="N86" s="46">
        <v>255.7752151313739</v>
      </c>
    </row>
    <row r="87" spans="3:14" ht="15.5" x14ac:dyDescent="0.35">
      <c r="C87" s="69" t="s">
        <v>323</v>
      </c>
      <c r="D87" s="46"/>
      <c r="E87" s="46"/>
      <c r="F87" s="46"/>
      <c r="G87" s="46"/>
      <c r="H87" s="46"/>
      <c r="I87" s="66"/>
      <c r="J87" s="46"/>
      <c r="K87" s="46"/>
      <c r="L87" s="46"/>
      <c r="M87" s="46"/>
      <c r="N87" s="46"/>
    </row>
    <row r="88" spans="3:14" ht="15.5" x14ac:dyDescent="0.35">
      <c r="C88" s="69" t="s">
        <v>329</v>
      </c>
      <c r="D88" s="46">
        <v>1847.1948834669101</v>
      </c>
      <c r="E88" s="46">
        <v>1971.9526250215729</v>
      </c>
      <c r="F88" s="46">
        <v>1920.6207958798323</v>
      </c>
      <c r="G88" s="46">
        <v>1983.179015052933</v>
      </c>
      <c r="H88" s="46">
        <v>2042.0389045370198</v>
      </c>
      <c r="I88" s="66"/>
      <c r="J88" s="46">
        <v>1847.1948834669101</v>
      </c>
      <c r="K88" s="46">
        <v>1971.9526250215729</v>
      </c>
      <c r="L88" s="46">
        <v>1920.6207958798323</v>
      </c>
      <c r="M88" s="46">
        <v>1983.179015052933</v>
      </c>
      <c r="N88" s="46">
        <v>2042.0389045370198</v>
      </c>
    </row>
    <row r="89" spans="3:14" ht="15.5" x14ac:dyDescent="0.35">
      <c r="C89" s="69" t="s">
        <v>168</v>
      </c>
      <c r="D89" s="46">
        <v>0</v>
      </c>
      <c r="E89" s="46">
        <v>0</v>
      </c>
      <c r="F89" s="46">
        <v>9.3416233920248004E-2</v>
      </c>
      <c r="G89" s="46">
        <v>16.369345014882995</v>
      </c>
      <c r="H89" s="46">
        <v>48.279646277324964</v>
      </c>
      <c r="I89" s="66"/>
      <c r="J89" s="46">
        <v>0</v>
      </c>
      <c r="K89" s="46">
        <v>0</v>
      </c>
      <c r="L89" s="46">
        <v>9.3416233920248004E-2</v>
      </c>
      <c r="M89" s="46">
        <v>16.369345014882995</v>
      </c>
      <c r="N89" s="46">
        <v>48.279646277324964</v>
      </c>
    </row>
    <row r="90" spans="3:14" ht="15.5" x14ac:dyDescent="0.35">
      <c r="C90" s="69" t="s">
        <v>278</v>
      </c>
      <c r="D90" s="80">
        <v>0</v>
      </c>
      <c r="E90" s="80">
        <v>0.17630747865854599</v>
      </c>
      <c r="F90" s="80">
        <v>99.659934243841249</v>
      </c>
      <c r="G90" s="80">
        <v>359.55856062877666</v>
      </c>
      <c r="H90" s="80">
        <v>459.63094689415669</v>
      </c>
      <c r="I90" s="66"/>
      <c r="J90" s="80">
        <v>0</v>
      </c>
      <c r="K90" s="80">
        <v>0.17630747865854599</v>
      </c>
      <c r="L90" s="80">
        <v>95.759934243841258</v>
      </c>
      <c r="M90" s="80">
        <v>322.40856062877663</v>
      </c>
      <c r="N90" s="80">
        <v>413.21894689415666</v>
      </c>
    </row>
    <row r="91" spans="3:14" ht="15.5" x14ac:dyDescent="0.35">
      <c r="C91" s="51" t="s">
        <v>362</v>
      </c>
      <c r="D91" s="80">
        <v>210.77451060847829</v>
      </c>
      <c r="E91" s="80">
        <v>230.04527986927098</v>
      </c>
      <c r="F91" s="80">
        <v>328.76053848508343</v>
      </c>
      <c r="G91" s="80">
        <v>416.09502731735915</v>
      </c>
      <c r="H91" s="80">
        <v>444.89171687380053</v>
      </c>
      <c r="I91" s="66"/>
      <c r="J91" s="80">
        <v>210.77451060847829</v>
      </c>
      <c r="K91" s="80">
        <v>230.04527986927098</v>
      </c>
      <c r="L91" s="80">
        <v>328.76053848508343</v>
      </c>
      <c r="M91" s="80">
        <v>416.09502731735915</v>
      </c>
      <c r="N91" s="80">
        <v>444.89171687380053</v>
      </c>
    </row>
    <row r="92" spans="3:14" ht="15.5" x14ac:dyDescent="0.35">
      <c r="C92" s="81" t="s">
        <v>345</v>
      </c>
      <c r="D92" s="46">
        <v>210.77451060847829</v>
      </c>
      <c r="E92" s="46">
        <v>186.52872598495907</v>
      </c>
      <c r="F92" s="46">
        <v>157.18139052329636</v>
      </c>
      <c r="G92" s="46">
        <v>151.83494181187902</v>
      </c>
      <c r="H92" s="46">
        <v>154.27187817511751</v>
      </c>
      <c r="I92" s="66"/>
      <c r="J92" s="46">
        <v>210.77451060847829</v>
      </c>
      <c r="K92" s="46">
        <v>186.52872598495907</v>
      </c>
      <c r="L92" s="46">
        <v>157.18139052329636</v>
      </c>
      <c r="M92" s="46">
        <v>151.83494181187902</v>
      </c>
      <c r="N92" s="46">
        <v>154.27187817511751</v>
      </c>
    </row>
    <row r="93" spans="3:14" ht="15.5" x14ac:dyDescent="0.35">
      <c r="C93" s="81" t="s">
        <v>346</v>
      </c>
      <c r="D93" s="46"/>
      <c r="E93" s="46"/>
      <c r="F93" s="46"/>
      <c r="G93" s="46"/>
      <c r="H93" s="46"/>
      <c r="I93" s="66"/>
      <c r="J93" s="46"/>
      <c r="K93" s="46"/>
      <c r="L93" s="46"/>
      <c r="M93" s="46"/>
      <c r="N93" s="46"/>
    </row>
    <row r="94" spans="3:14" ht="15.5" x14ac:dyDescent="0.35">
      <c r="C94" s="81" t="s">
        <v>344</v>
      </c>
      <c r="D94" s="46">
        <v>0</v>
      </c>
      <c r="E94" s="46">
        <v>43.516553884311925</v>
      </c>
      <c r="F94" s="46">
        <v>171.57914796178704</v>
      </c>
      <c r="G94" s="46">
        <v>264.26008550548016</v>
      </c>
      <c r="H94" s="46">
        <v>290.619838698683</v>
      </c>
      <c r="I94" s="66"/>
      <c r="J94" s="46">
        <v>0</v>
      </c>
      <c r="K94" s="46">
        <v>43.516553884311925</v>
      </c>
      <c r="L94" s="46">
        <v>171.57914796178704</v>
      </c>
      <c r="M94" s="46">
        <v>264.26008550548016</v>
      </c>
      <c r="N94" s="46">
        <v>290.619838698683</v>
      </c>
    </row>
    <row r="95" spans="3:14" ht="15.5" x14ac:dyDescent="0.35">
      <c r="C95" s="47" t="s">
        <v>420</v>
      </c>
      <c r="D95" s="82">
        <v>456.47480931619401</v>
      </c>
      <c r="E95" s="82">
        <v>510.76517613525766</v>
      </c>
      <c r="F95" s="82">
        <v>490.98896708133464</v>
      </c>
      <c r="G95" s="82">
        <v>440.63313841202171</v>
      </c>
      <c r="H95" s="82">
        <v>407.38371596850595</v>
      </c>
      <c r="I95" s="66"/>
      <c r="J95" s="82">
        <v>496.47480931619401</v>
      </c>
      <c r="K95" s="82">
        <v>577.76517613525766</v>
      </c>
      <c r="L95" s="82">
        <v>617.98896708133464</v>
      </c>
      <c r="M95" s="82">
        <v>645.63313841202171</v>
      </c>
      <c r="N95" s="82">
        <v>635.38371596850595</v>
      </c>
    </row>
    <row r="96" spans="3:14" ht="15.5" x14ac:dyDescent="0.35">
      <c r="C96" s="83" t="s">
        <v>86</v>
      </c>
      <c r="D96" s="46">
        <v>374.47480931619401</v>
      </c>
      <c r="E96" s="46">
        <v>429.76517613525766</v>
      </c>
      <c r="F96" s="46">
        <v>415.98896708133464</v>
      </c>
      <c r="G96" s="46">
        <v>374.63313841202171</v>
      </c>
      <c r="H96" s="46">
        <v>347.38371596850595</v>
      </c>
      <c r="I96" s="41"/>
      <c r="J96" s="46">
        <v>374.47480931619401</v>
      </c>
      <c r="K96" s="46">
        <v>429.76517613525766</v>
      </c>
      <c r="L96" s="46">
        <v>415.98896708133464</v>
      </c>
      <c r="M96" s="58">
        <v>374.63313841202171</v>
      </c>
      <c r="N96" s="58">
        <v>347.38371596850595</v>
      </c>
    </row>
    <row r="97" spans="3:14" ht="15.5" x14ac:dyDescent="0.35">
      <c r="C97" s="83" t="s">
        <v>93</v>
      </c>
      <c r="D97" s="46">
        <v>40</v>
      </c>
      <c r="E97" s="46">
        <v>52</v>
      </c>
      <c r="F97" s="46">
        <v>43</v>
      </c>
      <c r="G97" s="46">
        <v>47</v>
      </c>
      <c r="H97" s="46">
        <v>51</v>
      </c>
      <c r="I97" s="41"/>
      <c r="J97" s="46">
        <v>40</v>
      </c>
      <c r="K97" s="46">
        <v>52</v>
      </c>
      <c r="L97" s="46">
        <v>43</v>
      </c>
      <c r="M97" s="58">
        <v>47</v>
      </c>
      <c r="N97" s="58">
        <v>51</v>
      </c>
    </row>
    <row r="98" spans="3:14" ht="15.5" x14ac:dyDescent="0.35">
      <c r="C98" s="83" t="s">
        <v>77</v>
      </c>
      <c r="D98" s="46">
        <v>0</v>
      </c>
      <c r="E98" s="46">
        <v>15</v>
      </c>
      <c r="F98" s="46">
        <v>84</v>
      </c>
      <c r="G98" s="46">
        <v>158</v>
      </c>
      <c r="H98" s="46">
        <v>177</v>
      </c>
      <c r="I98" s="41"/>
      <c r="J98" s="46">
        <v>0</v>
      </c>
      <c r="K98" s="46">
        <v>15</v>
      </c>
      <c r="L98" s="46">
        <v>84</v>
      </c>
      <c r="M98" s="58">
        <v>158</v>
      </c>
      <c r="N98" s="58">
        <v>177</v>
      </c>
    </row>
    <row r="99" spans="3:14" ht="15.5" x14ac:dyDescent="0.35">
      <c r="C99" s="83" t="s">
        <v>96</v>
      </c>
      <c r="D99" s="62">
        <v>82</v>
      </c>
      <c r="E99" s="62">
        <v>81</v>
      </c>
      <c r="F99" s="62">
        <v>75</v>
      </c>
      <c r="G99" s="62">
        <v>66</v>
      </c>
      <c r="H99" s="62">
        <v>60</v>
      </c>
      <c r="I99" s="41"/>
      <c r="J99" s="62">
        <v>82</v>
      </c>
      <c r="K99" s="62">
        <v>81</v>
      </c>
      <c r="L99" s="62">
        <v>75</v>
      </c>
      <c r="M99" s="62">
        <v>66</v>
      </c>
      <c r="N99" s="62">
        <v>60</v>
      </c>
    </row>
    <row r="100" spans="3:14" ht="15.5" x14ac:dyDescent="0.35">
      <c r="C100" s="54" t="s">
        <v>347</v>
      </c>
      <c r="D100" s="46">
        <v>122.32057672478</v>
      </c>
      <c r="E100" s="46">
        <v>150.34246645845832</v>
      </c>
      <c r="F100" s="46">
        <v>658.22348880620098</v>
      </c>
      <c r="G100" s="46">
        <v>1286.681112834151</v>
      </c>
      <c r="H100" s="46">
        <v>1388.5240997157596</v>
      </c>
      <c r="I100" s="41"/>
      <c r="J100" s="46">
        <v>122.32057672478049</v>
      </c>
      <c r="K100" s="46">
        <v>150.34246645845832</v>
      </c>
      <c r="L100" s="46">
        <v>658.22348880620098</v>
      </c>
      <c r="M100" s="46">
        <v>1286.681112834151</v>
      </c>
      <c r="N100" s="46">
        <v>1388.5240997157596</v>
      </c>
    </row>
    <row r="101" spans="3:14" ht="15.5" x14ac:dyDescent="0.35">
      <c r="C101" s="84" t="s">
        <v>354</v>
      </c>
      <c r="D101" s="85"/>
      <c r="E101" s="85"/>
      <c r="F101" s="85"/>
      <c r="G101" s="85"/>
      <c r="H101" s="85"/>
      <c r="I101" s="86"/>
      <c r="J101" s="85"/>
      <c r="K101" s="85"/>
      <c r="L101" s="85"/>
      <c r="M101" s="85"/>
      <c r="N101" s="85"/>
    </row>
    <row r="102" spans="3:14" ht="15.5" x14ac:dyDescent="0.35">
      <c r="C102" s="87" t="s">
        <v>421</v>
      </c>
      <c r="D102" s="88">
        <v>1217.082569823632</v>
      </c>
      <c r="E102" s="88">
        <v>1363.4844986279611</v>
      </c>
      <c r="F102" s="88">
        <v>1391.8349676233795</v>
      </c>
      <c r="G102" s="88">
        <v>1568.1110075965594</v>
      </c>
      <c r="H102" s="88">
        <v>1386.9878183943879</v>
      </c>
      <c r="I102" s="89"/>
      <c r="J102" s="88">
        <v>608.54128491181598</v>
      </c>
      <c r="K102" s="88">
        <v>681.74224931398055</v>
      </c>
      <c r="L102" s="88">
        <v>695.91748381168975</v>
      </c>
      <c r="M102" s="88">
        <v>784.05550379827969</v>
      </c>
      <c r="N102" s="88">
        <v>693.49390919719394</v>
      </c>
    </row>
    <row r="103" spans="3:14" ht="15.5" x14ac:dyDescent="0.35">
      <c r="C103" s="90" t="s">
        <v>422</v>
      </c>
      <c r="D103" s="91">
        <v>727.07721284427305</v>
      </c>
      <c r="E103" s="91">
        <v>763.24727120914542</v>
      </c>
      <c r="F103" s="92">
        <v>665.3198426945429</v>
      </c>
      <c r="G103" s="92">
        <v>716.37622837670961</v>
      </c>
      <c r="H103" s="92">
        <v>614.17202449634783</v>
      </c>
      <c r="I103" s="66"/>
      <c r="J103" s="92">
        <v>363.53860642213652</v>
      </c>
      <c r="K103" s="92">
        <v>381.62363560457271</v>
      </c>
      <c r="L103" s="92">
        <v>332.65992134727145</v>
      </c>
      <c r="M103" s="92">
        <v>358.1881141883548</v>
      </c>
      <c r="N103" s="92">
        <v>307.08601224817392</v>
      </c>
    </row>
    <row r="104" spans="3:14" ht="15.5" x14ac:dyDescent="0.35">
      <c r="C104" s="90" t="s">
        <v>423</v>
      </c>
      <c r="D104" s="91">
        <v>323.01059161969789</v>
      </c>
      <c r="E104" s="91">
        <v>393.85576186283851</v>
      </c>
      <c r="F104" s="92">
        <v>367.77145861460474</v>
      </c>
      <c r="G104" s="92">
        <v>368.79270909452816</v>
      </c>
      <c r="H104" s="92">
        <v>303.94318134731571</v>
      </c>
      <c r="I104" s="66"/>
      <c r="J104" s="92">
        <v>161.50529580984895</v>
      </c>
      <c r="K104" s="92">
        <v>196.92788093141925</v>
      </c>
      <c r="L104" s="92">
        <v>183.88572930730237</v>
      </c>
      <c r="M104" s="92">
        <v>184.39635454726408</v>
      </c>
      <c r="N104" s="92">
        <v>151.97159067365786</v>
      </c>
    </row>
    <row r="105" spans="3:14" ht="15.5" x14ac:dyDescent="0.35">
      <c r="C105" s="90" t="s">
        <v>465</v>
      </c>
      <c r="D105" s="91">
        <v>123.92202649822754</v>
      </c>
      <c r="E105" s="91">
        <v>160.50344344206675</v>
      </c>
      <c r="F105" s="92">
        <v>227.34638283569822</v>
      </c>
      <c r="G105" s="92">
        <v>235.15683596248445</v>
      </c>
      <c r="H105" s="92">
        <v>267.76431140652153</v>
      </c>
      <c r="I105" s="93"/>
      <c r="J105" s="92">
        <v>61.961013249113769</v>
      </c>
      <c r="K105" s="92">
        <v>80.251721721033377</v>
      </c>
      <c r="L105" s="92">
        <v>113.67319141784911</v>
      </c>
      <c r="M105" s="92">
        <v>117.57841798124223</v>
      </c>
      <c r="N105" s="92">
        <v>133.88215570326076</v>
      </c>
    </row>
    <row r="106" spans="3:14" ht="15.5" x14ac:dyDescent="0.35">
      <c r="C106" s="90" t="s">
        <v>424</v>
      </c>
      <c r="D106" s="91">
        <v>43.072738861433386</v>
      </c>
      <c r="E106" s="91">
        <v>44.802123280494612</v>
      </c>
      <c r="F106" s="92">
        <v>40.457831325301207</v>
      </c>
      <c r="G106" s="92">
        <v>41.221311475409841</v>
      </c>
      <c r="H106" s="92">
        <v>33.702343096234301</v>
      </c>
      <c r="I106" s="66"/>
      <c r="J106" s="92">
        <v>21.536369430716693</v>
      </c>
      <c r="K106" s="92">
        <v>22.401061640247306</v>
      </c>
      <c r="L106" s="92">
        <v>20.228915662650603</v>
      </c>
      <c r="M106" s="92">
        <v>20.610655737704921</v>
      </c>
      <c r="N106" s="92">
        <v>16.851171548117151</v>
      </c>
    </row>
    <row r="107" spans="3:14" ht="15.5" x14ac:dyDescent="0.35">
      <c r="C107" s="94" t="s">
        <v>425</v>
      </c>
      <c r="D107" s="92">
        <v>0</v>
      </c>
      <c r="E107" s="92">
        <v>1.0758988334158088</v>
      </c>
      <c r="F107" s="92">
        <v>90.939452153232338</v>
      </c>
      <c r="G107" s="92">
        <v>206.56392268742738</v>
      </c>
      <c r="H107" s="92">
        <v>167.40595804796865</v>
      </c>
      <c r="I107" s="66"/>
      <c r="J107" s="92">
        <v>0</v>
      </c>
      <c r="K107" s="92">
        <v>0.53794941670790442</v>
      </c>
      <c r="L107" s="92">
        <v>45.469726076616169</v>
      </c>
      <c r="M107" s="92">
        <v>103.28196134371369</v>
      </c>
      <c r="N107" s="92">
        <v>83.702979023984327</v>
      </c>
    </row>
    <row r="108" spans="3:14" ht="15.5" x14ac:dyDescent="0.35">
      <c r="C108" s="39" t="s">
        <v>138</v>
      </c>
      <c r="D108" s="95">
        <v>1519.7841949282717</v>
      </c>
      <c r="E108" s="95">
        <v>1681.2971090177077</v>
      </c>
      <c r="F108" s="95">
        <v>1938.6736235314218</v>
      </c>
      <c r="G108" s="95">
        <v>1335.709598538542</v>
      </c>
      <c r="H108" s="95">
        <v>642.4493914213009</v>
      </c>
      <c r="I108" s="66"/>
      <c r="J108" s="95">
        <v>1027.2549138795064</v>
      </c>
      <c r="K108" s="95">
        <v>1143.2540146875745</v>
      </c>
      <c r="L108" s="95">
        <v>1257.9615824851221</v>
      </c>
      <c r="M108" s="95">
        <v>844.84160637555817</v>
      </c>
      <c r="N108" s="95">
        <v>405.44924585801465</v>
      </c>
    </row>
    <row r="109" spans="3:14" ht="15.5" x14ac:dyDescent="0.35">
      <c r="C109" s="96" t="s">
        <v>426</v>
      </c>
      <c r="D109" s="97">
        <v>408.87382990828712</v>
      </c>
      <c r="E109" s="97">
        <v>487.41394242848696</v>
      </c>
      <c r="F109" s="97">
        <v>473.31510429909366</v>
      </c>
      <c r="G109" s="97">
        <v>301.71469263172798</v>
      </c>
      <c r="H109" s="97">
        <v>147.588949587934</v>
      </c>
      <c r="I109" s="64"/>
      <c r="J109" s="97">
        <v>408.87382990828712</v>
      </c>
      <c r="K109" s="97">
        <v>487.41394242848696</v>
      </c>
      <c r="L109" s="97">
        <v>473.31510429909366</v>
      </c>
      <c r="M109" s="97">
        <v>301.71469263172798</v>
      </c>
      <c r="N109" s="97">
        <v>147.588949587934</v>
      </c>
    </row>
    <row r="110" spans="3:14" ht="15.5" x14ac:dyDescent="0.35">
      <c r="C110" s="98" t="s">
        <v>298</v>
      </c>
      <c r="D110" s="99">
        <v>125.85180292245383</v>
      </c>
      <c r="E110" s="99">
        <v>117.79697792895448</v>
      </c>
      <c r="F110" s="99">
        <v>103.93443713972832</v>
      </c>
      <c r="G110" s="99">
        <v>52.258921580846604</v>
      </c>
      <c r="H110" s="99">
        <v>20.860150706794464</v>
      </c>
      <c r="I110" s="41"/>
      <c r="J110" s="99">
        <v>125.85180292245383</v>
      </c>
      <c r="K110" s="99">
        <v>117.79697792895448</v>
      </c>
      <c r="L110" s="99">
        <v>103.93443713972832</v>
      </c>
      <c r="M110" s="99">
        <v>52.258921580846604</v>
      </c>
      <c r="N110" s="99">
        <v>20.860150706794464</v>
      </c>
    </row>
    <row r="111" spans="3:14" ht="15.5" x14ac:dyDescent="0.35">
      <c r="C111" s="96" t="s">
        <v>427</v>
      </c>
      <c r="D111" s="97"/>
      <c r="E111" s="97"/>
      <c r="F111" s="97"/>
      <c r="G111" s="97"/>
      <c r="H111" s="97"/>
      <c r="I111" s="41"/>
      <c r="J111" s="99"/>
      <c r="K111" s="99"/>
      <c r="L111" s="97"/>
      <c r="M111" s="97"/>
      <c r="N111" s="97"/>
    </row>
    <row r="112" spans="3:14" ht="15.5" x14ac:dyDescent="0.35">
      <c r="C112" s="100" t="s">
        <v>140</v>
      </c>
      <c r="D112" s="99">
        <v>132.71840121502254</v>
      </c>
      <c r="E112" s="99">
        <v>112.5047098657307</v>
      </c>
      <c r="F112" s="99">
        <v>94.73861724232826</v>
      </c>
      <c r="G112" s="99">
        <v>49.330897153111948</v>
      </c>
      <c r="H112" s="99">
        <v>20.688708260863635</v>
      </c>
      <c r="I112" s="41"/>
      <c r="J112" s="99">
        <v>66.359200607511269</v>
      </c>
      <c r="K112" s="99">
        <v>56.252354932865352</v>
      </c>
      <c r="L112" s="99">
        <v>47.36930862116413</v>
      </c>
      <c r="M112" s="99">
        <v>24.665448576555974</v>
      </c>
      <c r="N112" s="99">
        <v>10.344354130431817</v>
      </c>
    </row>
    <row r="113" spans="3:14" ht="15.5" x14ac:dyDescent="0.35">
      <c r="C113" s="96" t="s">
        <v>428</v>
      </c>
      <c r="D113" s="97">
        <v>412.76197613424551</v>
      </c>
      <c r="E113" s="97">
        <v>465.67774743314641</v>
      </c>
      <c r="F113" s="97">
        <v>385.93712112446622</v>
      </c>
      <c r="G113" s="97">
        <v>182.2462641505561</v>
      </c>
      <c r="H113" s="97">
        <v>71.276110044617269</v>
      </c>
      <c r="I113" s="41"/>
      <c r="J113" s="99">
        <v>206.38098806712276</v>
      </c>
      <c r="K113" s="99">
        <v>232.8388737165732</v>
      </c>
      <c r="L113" s="99">
        <v>192.96856056223311</v>
      </c>
      <c r="M113" s="99">
        <v>91.12313207527805</v>
      </c>
      <c r="N113" s="99">
        <v>35.638055022308635</v>
      </c>
    </row>
    <row r="114" spans="3:14" ht="15.5" x14ac:dyDescent="0.35">
      <c r="C114" s="96" t="s">
        <v>429</v>
      </c>
      <c r="D114" s="97">
        <v>0</v>
      </c>
      <c r="E114" s="97">
        <v>32.703015830606702</v>
      </c>
      <c r="F114" s="97">
        <v>391.75223034354372</v>
      </c>
      <c r="G114" s="97">
        <v>357.2148089922639</v>
      </c>
      <c r="H114" s="97">
        <v>154.34099023645328</v>
      </c>
      <c r="I114" s="41"/>
      <c r="J114" s="99">
        <v>0</v>
      </c>
      <c r="K114" s="99">
        <v>16.351507915303351</v>
      </c>
      <c r="L114" s="99">
        <v>195.87611517177186</v>
      </c>
      <c r="M114" s="99">
        <v>178.60740449613195</v>
      </c>
      <c r="N114" s="99">
        <v>77.17049511822664</v>
      </c>
    </row>
    <row r="115" spans="3:14" ht="15.5" x14ac:dyDescent="0.35">
      <c r="C115" s="96" t="s">
        <v>430</v>
      </c>
      <c r="D115" s="101">
        <v>219.78909237413131</v>
      </c>
      <c r="E115" s="101">
        <v>232.60035776539112</v>
      </c>
      <c r="F115" s="101">
        <v>244.49805669113087</v>
      </c>
      <c r="G115" s="101">
        <v>196.47200701501765</v>
      </c>
      <c r="H115" s="101">
        <v>113.84724129231911</v>
      </c>
      <c r="I115" s="41"/>
      <c r="J115" s="102">
        <v>109.89454618706566</v>
      </c>
      <c r="K115" s="102">
        <v>116.30017888269556</v>
      </c>
      <c r="L115" s="102">
        <v>122.24902834556543</v>
      </c>
      <c r="M115" s="102">
        <v>98.236003507508826</v>
      </c>
      <c r="N115" s="102">
        <v>56.923620646159556</v>
      </c>
    </row>
    <row r="116" spans="3:14" ht="15.5" x14ac:dyDescent="0.35">
      <c r="C116" s="98" t="s">
        <v>431</v>
      </c>
      <c r="D116" s="103">
        <v>219.78909237413131</v>
      </c>
      <c r="E116" s="103">
        <v>221.9869832978724</v>
      </c>
      <c r="F116" s="99">
        <v>192.68392123196151</v>
      </c>
      <c r="G116" s="99">
        <v>102.12247825293986</v>
      </c>
      <c r="H116" s="99">
        <v>44.317301883351263</v>
      </c>
      <c r="I116" s="41"/>
      <c r="J116" s="99">
        <v>109.89454618706566</v>
      </c>
      <c r="K116" s="99">
        <v>110.9934916489362</v>
      </c>
      <c r="L116" s="99">
        <v>96.341960615980753</v>
      </c>
      <c r="M116" s="99">
        <v>51.061239126469928</v>
      </c>
      <c r="N116" s="99">
        <v>22.158650941675631</v>
      </c>
    </row>
    <row r="117" spans="3:14" ht="15.5" x14ac:dyDescent="0.35">
      <c r="C117" s="98" t="s">
        <v>432</v>
      </c>
      <c r="D117" s="99">
        <v>0</v>
      </c>
      <c r="E117" s="99">
        <v>10.613374467518714</v>
      </c>
      <c r="F117" s="99">
        <v>51.814135459169364</v>
      </c>
      <c r="G117" s="99">
        <v>94.349528762077796</v>
      </c>
      <c r="H117" s="99">
        <v>69.529939408967849</v>
      </c>
      <c r="I117" s="41"/>
      <c r="J117" s="99">
        <v>0</v>
      </c>
      <c r="K117" s="99">
        <v>5.3066872337593569</v>
      </c>
      <c r="L117" s="99">
        <v>25.907067729584682</v>
      </c>
      <c r="M117" s="99">
        <v>47.174764381038898</v>
      </c>
      <c r="N117" s="99">
        <v>34.764969704483924</v>
      </c>
    </row>
    <row r="118" spans="3:14" ht="15.5" x14ac:dyDescent="0.35">
      <c r="C118" s="104" t="s">
        <v>433</v>
      </c>
      <c r="D118" s="105">
        <v>233.11258613235489</v>
      </c>
      <c r="E118" s="105">
        <v>391.47625291756043</v>
      </c>
      <c r="F118" s="106">
        <v>515.72230113707178</v>
      </c>
      <c r="G118" s="106">
        <v>683.28095374150939</v>
      </c>
      <c r="H118" s="106">
        <v>818.52144720793046</v>
      </c>
      <c r="I118" s="107"/>
      <c r="J118" s="105">
        <v>233.11258613235489</v>
      </c>
      <c r="K118" s="105">
        <v>391.47625291756043</v>
      </c>
      <c r="L118" s="106">
        <v>515.72230113707178</v>
      </c>
      <c r="M118" s="106">
        <v>683.28095374150939</v>
      </c>
      <c r="N118" s="106">
        <v>818.52144720793046</v>
      </c>
    </row>
    <row r="119" spans="3:14" ht="15.5" x14ac:dyDescent="0.35">
      <c r="C119" s="108" t="s">
        <v>342</v>
      </c>
      <c r="D119" s="109">
        <v>232.82197734326053</v>
      </c>
      <c r="E119" s="109">
        <v>296.93103167960345</v>
      </c>
      <c r="F119" s="110">
        <v>286.0996977239904</v>
      </c>
      <c r="G119" s="110">
        <v>266.22926092711106</v>
      </c>
      <c r="H119" s="110">
        <v>235.96258221888789</v>
      </c>
      <c r="I119" s="111"/>
      <c r="J119" s="109">
        <v>232.82197734326053</v>
      </c>
      <c r="K119" s="109">
        <v>296.93103167960345</v>
      </c>
      <c r="L119" s="110">
        <v>286.0996977239904</v>
      </c>
      <c r="M119" s="110">
        <v>266.22926092711106</v>
      </c>
      <c r="N119" s="110">
        <v>235.96258221888789</v>
      </c>
    </row>
    <row r="120" spans="3:14" ht="15.5" x14ac:dyDescent="0.35">
      <c r="C120" s="108" t="s">
        <v>306</v>
      </c>
      <c r="D120" s="109">
        <v>0.29060878909435794</v>
      </c>
      <c r="E120" s="109">
        <v>94.545221237956881</v>
      </c>
      <c r="F120" s="110">
        <v>226.22646462273644</v>
      </c>
      <c r="G120" s="110">
        <v>262.4142459156879</v>
      </c>
      <c r="H120" s="110">
        <v>267.71529806442368</v>
      </c>
      <c r="I120" s="111"/>
      <c r="J120" s="109">
        <v>0.29060878909435794</v>
      </c>
      <c r="K120" s="109">
        <v>94.545221237956881</v>
      </c>
      <c r="L120" s="110">
        <v>226.22646462273644</v>
      </c>
      <c r="M120" s="110">
        <v>262.4142459156879</v>
      </c>
      <c r="N120" s="110">
        <v>267.71529806442368</v>
      </c>
    </row>
    <row r="121" spans="3:14" ht="15.5" x14ac:dyDescent="0.35">
      <c r="C121" s="108" t="s">
        <v>301</v>
      </c>
      <c r="D121" s="109">
        <v>0</v>
      </c>
      <c r="E121" s="109">
        <v>0</v>
      </c>
      <c r="F121" s="110">
        <v>3.3961387903443234</v>
      </c>
      <c r="G121" s="110">
        <v>154.63744689870967</v>
      </c>
      <c r="H121" s="110">
        <v>314.84356692461768</v>
      </c>
      <c r="I121" s="111"/>
      <c r="J121" s="109">
        <v>0</v>
      </c>
      <c r="K121" s="109">
        <v>0</v>
      </c>
      <c r="L121" s="110">
        <v>3.3961387903443234</v>
      </c>
      <c r="M121" s="110">
        <v>154.63744689870967</v>
      </c>
      <c r="N121" s="110">
        <v>314.84356692461768</v>
      </c>
    </row>
    <row r="122" spans="3:14" ht="15.5" x14ac:dyDescent="0.35">
      <c r="C122" s="104" t="s">
        <v>434</v>
      </c>
      <c r="D122" s="112">
        <v>0</v>
      </c>
      <c r="E122" s="112">
        <v>15.195871914746498</v>
      </c>
      <c r="F122" s="112">
        <v>92.806856224441432</v>
      </c>
      <c r="G122" s="112">
        <v>522.65298162168142</v>
      </c>
      <c r="H122" s="112">
        <v>1813.760552235507</v>
      </c>
      <c r="I122" s="107"/>
      <c r="J122" s="112">
        <v>0</v>
      </c>
      <c r="K122" s="112">
        <v>15.195871914746498</v>
      </c>
      <c r="L122" s="112">
        <v>92.806856224441432</v>
      </c>
      <c r="M122" s="112">
        <v>522.65298162168142</v>
      </c>
      <c r="N122" s="112">
        <v>1813.760552235507</v>
      </c>
    </row>
    <row r="123" spans="3:14" ht="15.5" x14ac:dyDescent="0.35">
      <c r="C123" s="113" t="s">
        <v>435</v>
      </c>
      <c r="D123" s="114">
        <v>0</v>
      </c>
      <c r="E123" s="114">
        <v>0</v>
      </c>
      <c r="F123" s="115">
        <v>0</v>
      </c>
      <c r="G123" s="115">
        <v>0</v>
      </c>
      <c r="H123" s="115">
        <v>0</v>
      </c>
      <c r="I123" s="116"/>
      <c r="J123" s="114">
        <v>0</v>
      </c>
      <c r="K123" s="114">
        <v>0</v>
      </c>
      <c r="L123" s="115">
        <v>0</v>
      </c>
      <c r="M123" s="115">
        <v>0</v>
      </c>
      <c r="N123" s="115">
        <v>0</v>
      </c>
    </row>
    <row r="124" spans="3:14" ht="15.5" x14ac:dyDescent="0.35">
      <c r="C124" s="117" t="s">
        <v>70</v>
      </c>
      <c r="D124" s="118">
        <v>0</v>
      </c>
      <c r="E124" s="118">
        <v>0</v>
      </c>
      <c r="F124" s="119">
        <v>0</v>
      </c>
      <c r="G124" s="119">
        <v>0</v>
      </c>
      <c r="H124" s="119">
        <v>0</v>
      </c>
      <c r="I124" s="120"/>
      <c r="J124" s="118">
        <v>0</v>
      </c>
      <c r="K124" s="118">
        <v>0</v>
      </c>
      <c r="L124" s="119">
        <v>0</v>
      </c>
      <c r="M124" s="119">
        <v>0</v>
      </c>
      <c r="N124" s="119">
        <v>0</v>
      </c>
    </row>
    <row r="125" spans="3:14" ht="15.5" x14ac:dyDescent="0.35">
      <c r="C125" s="121" t="s">
        <v>253</v>
      </c>
      <c r="D125" s="118">
        <v>0</v>
      </c>
      <c r="E125" s="118">
        <v>0</v>
      </c>
      <c r="F125" s="119">
        <v>0</v>
      </c>
      <c r="G125" s="119">
        <v>418.13758658789129</v>
      </c>
      <c r="H125" s="119">
        <v>1700.1803534209689</v>
      </c>
      <c r="I125" s="120"/>
      <c r="J125" s="118">
        <v>0</v>
      </c>
      <c r="K125" s="118">
        <v>0</v>
      </c>
      <c r="L125" s="119">
        <v>0</v>
      </c>
      <c r="M125" s="119">
        <v>418.13758658789129</v>
      </c>
      <c r="N125" s="119">
        <v>1700.1803534209689</v>
      </c>
    </row>
    <row r="126" spans="3:14" ht="15.5" x14ac:dyDescent="0.35">
      <c r="C126" s="121" t="s">
        <v>52</v>
      </c>
      <c r="D126" s="118">
        <v>0</v>
      </c>
      <c r="E126" s="118">
        <v>15.195871914746498</v>
      </c>
      <c r="F126" s="119">
        <v>92.806856224441432</v>
      </c>
      <c r="G126" s="119">
        <v>104.51539503379017</v>
      </c>
      <c r="H126" s="119">
        <v>113.58019881453799</v>
      </c>
      <c r="I126" s="120"/>
      <c r="J126" s="118">
        <v>0</v>
      </c>
      <c r="K126" s="118">
        <v>15.195871914746498</v>
      </c>
      <c r="L126" s="119">
        <v>92.806856224441432</v>
      </c>
      <c r="M126" s="119">
        <v>104.51539503379017</v>
      </c>
      <c r="N126" s="119">
        <v>113.58019881453799</v>
      </c>
    </row>
  </sheetData>
  <autoFilter ref="C9:N126" xr:uid="{884F2B9E-EEF0-4AF3-9F26-3B0FAC0CC511}"/>
  <mergeCells count="2">
    <mergeCell ref="D5:H5"/>
    <mergeCell ref="J5:N5"/>
  </mergeCells>
  <conditionalFormatting sqref="C124">
    <cfRule type="containsText" dxfId="110" priority="1" operator="containsText" text="Families">
      <formula>NOT(ISERROR(SEARCH("Families",C124)))</formula>
    </cfRule>
    <cfRule type="containsText" dxfId="109" priority="2" operator="containsText" text="Family">
      <formula>NOT(ISERROR(SEARCH("Family",C124)))</formula>
    </cfRule>
    <cfRule type="containsText" dxfId="108" priority="3" operator="containsText" text="Combo">
      <formula>NOT(ISERROR(SEARCH("Combo",C124)))</formula>
    </cfRule>
  </conditionalFormatting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78E2-FD05-49B0-9151-2741B42A7683}">
  <sheetPr>
    <tabColor theme="4" tint="-0.249977111117893"/>
  </sheetPr>
  <dimension ref="B1:D82"/>
  <sheetViews>
    <sheetView zoomScale="130" zoomScaleNormal="130" workbookViewId="0">
      <selection activeCell="D93" sqref="D93"/>
    </sheetView>
  </sheetViews>
  <sheetFormatPr defaultRowHeight="14.5" x14ac:dyDescent="0.35"/>
  <cols>
    <col min="1" max="1" width="8.7265625" style="4"/>
    <col min="2" max="2" width="8.1796875" style="4" customWidth="1"/>
    <col min="3" max="3" width="51.36328125" style="4" customWidth="1"/>
    <col min="4" max="4" width="25.26953125" style="4" customWidth="1"/>
    <col min="5" max="5" width="20.6328125" style="4" customWidth="1"/>
    <col min="6" max="16384" width="8.7265625" style="4"/>
  </cols>
  <sheetData>
    <row r="1" spans="2:4" x14ac:dyDescent="0.35">
      <c r="B1" s="719" t="s">
        <v>932</v>
      </c>
    </row>
    <row r="2" spans="2:4" x14ac:dyDescent="0.35">
      <c r="B2" s="748" t="s">
        <v>958</v>
      </c>
    </row>
    <row r="3" spans="2:4" x14ac:dyDescent="0.35">
      <c r="B3" s="748" t="s">
        <v>959</v>
      </c>
    </row>
    <row r="4" spans="2:4" x14ac:dyDescent="0.35">
      <c r="B4" s="748" t="s">
        <v>960</v>
      </c>
    </row>
    <row r="5" spans="2:4" ht="15" thickBot="1" x14ac:dyDescent="0.4"/>
    <row r="6" spans="2:4" ht="22" customHeight="1" thickBot="1" x14ac:dyDescent="0.4">
      <c r="C6" s="741" t="s">
        <v>5</v>
      </c>
      <c r="D6" s="742" t="s">
        <v>355</v>
      </c>
    </row>
    <row r="7" spans="2:4" x14ac:dyDescent="0.35">
      <c r="C7" s="189" t="s">
        <v>258</v>
      </c>
      <c r="D7" s="743" t="s">
        <v>43</v>
      </c>
    </row>
    <row r="8" spans="2:4" x14ac:dyDescent="0.35">
      <c r="C8" s="130" t="s">
        <v>239</v>
      </c>
      <c r="D8" s="140" t="s">
        <v>43</v>
      </c>
    </row>
    <row r="9" spans="2:4" x14ac:dyDescent="0.35">
      <c r="C9" s="130" t="s">
        <v>269</v>
      </c>
      <c r="D9" s="140" t="s">
        <v>43</v>
      </c>
    </row>
    <row r="10" spans="2:4" x14ac:dyDescent="0.35">
      <c r="C10" s="130" t="s">
        <v>261</v>
      </c>
      <c r="D10" s="140" t="s">
        <v>468</v>
      </c>
    </row>
    <row r="11" spans="2:4" x14ac:dyDescent="0.35">
      <c r="C11" s="130" t="s">
        <v>264</v>
      </c>
      <c r="D11" s="140" t="s">
        <v>468</v>
      </c>
    </row>
    <row r="12" spans="2:4" x14ac:dyDescent="0.35">
      <c r="C12" s="130" t="s">
        <v>244</v>
      </c>
      <c r="D12" s="140" t="s">
        <v>43</v>
      </c>
    </row>
    <row r="13" spans="2:4" x14ac:dyDescent="0.35">
      <c r="C13" s="130" t="s">
        <v>272</v>
      </c>
      <c r="D13" s="140" t="s">
        <v>43</v>
      </c>
    </row>
    <row r="14" spans="2:4" x14ac:dyDescent="0.35">
      <c r="C14" s="130" t="s">
        <v>250</v>
      </c>
      <c r="D14" s="140" t="s">
        <v>43</v>
      </c>
    </row>
    <row r="15" spans="2:4" x14ac:dyDescent="0.35">
      <c r="C15" s="130" t="s">
        <v>233</v>
      </c>
      <c r="D15" s="140" t="s">
        <v>469</v>
      </c>
    </row>
    <row r="16" spans="2:4" x14ac:dyDescent="0.35">
      <c r="C16" s="130" t="s">
        <v>192</v>
      </c>
      <c r="D16" s="140" t="s">
        <v>43</v>
      </c>
    </row>
    <row r="17" spans="3:4" x14ac:dyDescent="0.35">
      <c r="C17" s="130" t="s">
        <v>313</v>
      </c>
      <c r="D17" s="140" t="s">
        <v>43</v>
      </c>
    </row>
    <row r="18" spans="3:4" x14ac:dyDescent="0.35">
      <c r="C18" s="130" t="s">
        <v>181</v>
      </c>
      <c r="D18" s="140" t="s">
        <v>43</v>
      </c>
    </row>
    <row r="19" spans="3:4" x14ac:dyDescent="0.35">
      <c r="C19" s="130" t="s">
        <v>184</v>
      </c>
      <c r="D19" s="140" t="s">
        <v>43</v>
      </c>
    </row>
    <row r="20" spans="3:4" x14ac:dyDescent="0.35">
      <c r="C20" s="130" t="s">
        <v>177</v>
      </c>
      <c r="D20" s="140" t="s">
        <v>43</v>
      </c>
    </row>
    <row r="21" spans="3:4" x14ac:dyDescent="0.35">
      <c r="C21" s="130" t="s">
        <v>173</v>
      </c>
      <c r="D21" s="140" t="s">
        <v>43</v>
      </c>
    </row>
    <row r="22" spans="3:4" x14ac:dyDescent="0.35">
      <c r="C22" s="130" t="s">
        <v>188</v>
      </c>
      <c r="D22" s="140" t="s">
        <v>43</v>
      </c>
    </row>
    <row r="23" spans="3:4" x14ac:dyDescent="0.35">
      <c r="C23" s="130" t="s">
        <v>122</v>
      </c>
      <c r="D23" s="140" t="s">
        <v>43</v>
      </c>
    </row>
    <row r="24" spans="3:4" x14ac:dyDescent="0.35">
      <c r="C24" s="130" t="s">
        <v>124</v>
      </c>
      <c r="D24" s="140" t="s">
        <v>43</v>
      </c>
    </row>
    <row r="25" spans="3:4" x14ac:dyDescent="0.35">
      <c r="C25" s="130" t="s">
        <v>126</v>
      </c>
      <c r="D25" s="140" t="s">
        <v>43</v>
      </c>
    </row>
    <row r="26" spans="3:4" x14ac:dyDescent="0.35">
      <c r="C26" s="130" t="s">
        <v>118</v>
      </c>
      <c r="D26" s="140" t="s">
        <v>468</v>
      </c>
    </row>
    <row r="27" spans="3:4" x14ac:dyDescent="0.35">
      <c r="C27" s="130" t="s">
        <v>102</v>
      </c>
      <c r="D27" s="140" t="s">
        <v>43</v>
      </c>
    </row>
    <row r="28" spans="3:4" x14ac:dyDescent="0.35">
      <c r="C28" s="130" t="s">
        <v>108</v>
      </c>
      <c r="D28" s="140" t="s">
        <v>43</v>
      </c>
    </row>
    <row r="29" spans="3:4" x14ac:dyDescent="0.35">
      <c r="C29" s="130" t="s">
        <v>106</v>
      </c>
      <c r="D29" s="140" t="s">
        <v>468</v>
      </c>
    </row>
    <row r="30" spans="3:4" x14ac:dyDescent="0.35">
      <c r="C30" s="130" t="s">
        <v>110</v>
      </c>
      <c r="D30" s="140" t="s">
        <v>43</v>
      </c>
    </row>
    <row r="31" spans="3:4" x14ac:dyDescent="0.35">
      <c r="C31" s="130" t="s">
        <v>133</v>
      </c>
      <c r="D31" s="140" t="s">
        <v>43</v>
      </c>
    </row>
    <row r="32" spans="3:4" x14ac:dyDescent="0.35">
      <c r="C32" s="130" t="s">
        <v>140</v>
      </c>
      <c r="D32" s="140" t="s">
        <v>138</v>
      </c>
    </row>
    <row r="33" spans="3:4" x14ac:dyDescent="0.35">
      <c r="C33" s="130" t="s">
        <v>136</v>
      </c>
      <c r="D33" s="140" t="s">
        <v>43</v>
      </c>
    </row>
    <row r="34" spans="3:4" x14ac:dyDescent="0.35">
      <c r="C34" s="130" t="s">
        <v>130</v>
      </c>
      <c r="D34" s="140" t="s">
        <v>468</v>
      </c>
    </row>
    <row r="35" spans="3:4" x14ac:dyDescent="0.35">
      <c r="C35" s="130" t="s">
        <v>27</v>
      </c>
      <c r="D35" s="140" t="s">
        <v>43</v>
      </c>
    </row>
    <row r="36" spans="3:4" x14ac:dyDescent="0.35">
      <c r="C36" s="130" t="s">
        <v>424</v>
      </c>
      <c r="D36" s="140" t="s">
        <v>421</v>
      </c>
    </row>
    <row r="37" spans="3:4" x14ac:dyDescent="0.35">
      <c r="C37" s="130" t="s">
        <v>55</v>
      </c>
      <c r="D37" s="140" t="s">
        <v>43</v>
      </c>
    </row>
    <row r="38" spans="3:4" x14ac:dyDescent="0.35">
      <c r="C38" s="130" t="s">
        <v>59</v>
      </c>
      <c r="D38" s="140" t="s">
        <v>43</v>
      </c>
    </row>
    <row r="39" spans="3:4" x14ac:dyDescent="0.35">
      <c r="C39" s="130" t="s">
        <v>216</v>
      </c>
      <c r="D39" s="140" t="s">
        <v>43</v>
      </c>
    </row>
    <row r="40" spans="3:4" x14ac:dyDescent="0.35">
      <c r="C40" s="130" t="s">
        <v>149</v>
      </c>
      <c r="D40" s="140" t="s">
        <v>43</v>
      </c>
    </row>
    <row r="41" spans="3:4" x14ac:dyDescent="0.35">
      <c r="C41" s="130" t="s">
        <v>153</v>
      </c>
      <c r="D41" s="140" t="s">
        <v>43</v>
      </c>
    </row>
    <row r="42" spans="3:4" x14ac:dyDescent="0.35">
      <c r="C42" s="130" t="s">
        <v>143</v>
      </c>
      <c r="D42" s="140" t="s">
        <v>468</v>
      </c>
    </row>
    <row r="43" spans="3:4" x14ac:dyDescent="0.35">
      <c r="C43" s="130" t="s">
        <v>146</v>
      </c>
      <c r="D43" s="140" t="s">
        <v>468</v>
      </c>
    </row>
    <row r="44" spans="3:4" x14ac:dyDescent="0.35">
      <c r="C44" s="130" t="s">
        <v>156</v>
      </c>
      <c r="D44" s="140" t="s">
        <v>43</v>
      </c>
    </row>
    <row r="45" spans="3:4" x14ac:dyDescent="0.35">
      <c r="C45" s="130" t="s">
        <v>64</v>
      </c>
      <c r="D45" s="140" t="s">
        <v>43</v>
      </c>
    </row>
    <row r="46" spans="3:4" x14ac:dyDescent="0.35">
      <c r="C46" s="130" t="s">
        <v>163</v>
      </c>
      <c r="D46" s="140" t="s">
        <v>43</v>
      </c>
    </row>
    <row r="47" spans="3:4" x14ac:dyDescent="0.35">
      <c r="C47" s="130" t="s">
        <v>200</v>
      </c>
      <c r="D47" s="140" t="s">
        <v>43</v>
      </c>
    </row>
    <row r="48" spans="3:4" x14ac:dyDescent="0.35">
      <c r="C48" s="130" t="s">
        <v>197</v>
      </c>
      <c r="D48" s="140" t="s">
        <v>43</v>
      </c>
    </row>
    <row r="49" spans="3:4" x14ac:dyDescent="0.35">
      <c r="C49" s="130" t="s">
        <v>336</v>
      </c>
      <c r="D49" s="140" t="s">
        <v>43</v>
      </c>
    </row>
    <row r="50" spans="3:4" x14ac:dyDescent="0.35">
      <c r="C50" s="130" t="s">
        <v>205</v>
      </c>
      <c r="D50" s="140" t="s">
        <v>43</v>
      </c>
    </row>
    <row r="51" spans="3:4" x14ac:dyDescent="0.35">
      <c r="C51" s="130" t="s">
        <v>348</v>
      </c>
      <c r="D51" s="140" t="s">
        <v>43</v>
      </c>
    </row>
    <row r="52" spans="3:4" x14ac:dyDescent="0.35">
      <c r="C52" s="130" t="s">
        <v>349</v>
      </c>
      <c r="D52" s="140" t="s">
        <v>43</v>
      </c>
    </row>
    <row r="53" spans="3:4" x14ac:dyDescent="0.35">
      <c r="C53" s="130" t="s">
        <v>350</v>
      </c>
      <c r="D53" s="140" t="s">
        <v>43</v>
      </c>
    </row>
    <row r="54" spans="3:4" x14ac:dyDescent="0.35">
      <c r="C54" s="130" t="s">
        <v>222</v>
      </c>
      <c r="D54" s="140" t="s">
        <v>43</v>
      </c>
    </row>
    <row r="55" spans="3:4" x14ac:dyDescent="0.35">
      <c r="C55" s="130" t="s">
        <v>225</v>
      </c>
      <c r="D55" s="140" t="s">
        <v>43</v>
      </c>
    </row>
    <row r="56" spans="3:4" x14ac:dyDescent="0.35">
      <c r="C56" s="130" t="s">
        <v>227</v>
      </c>
      <c r="D56" s="140" t="s">
        <v>43</v>
      </c>
    </row>
    <row r="57" spans="3:4" x14ac:dyDescent="0.35">
      <c r="C57" s="746" t="s">
        <v>953</v>
      </c>
      <c r="D57" s="747" t="s">
        <v>43</v>
      </c>
    </row>
    <row r="58" spans="3:4" x14ac:dyDescent="0.35">
      <c r="C58" s="130" t="s">
        <v>291</v>
      </c>
      <c r="D58" s="140" t="s">
        <v>468</v>
      </c>
    </row>
    <row r="59" spans="3:4" x14ac:dyDescent="0.35">
      <c r="C59" s="130" t="s">
        <v>298</v>
      </c>
      <c r="D59" s="140" t="s">
        <v>138</v>
      </c>
    </row>
    <row r="60" spans="3:4" x14ac:dyDescent="0.35">
      <c r="C60" s="130" t="s">
        <v>351</v>
      </c>
      <c r="D60" s="140" t="s">
        <v>43</v>
      </c>
    </row>
    <row r="61" spans="3:4" x14ac:dyDescent="0.35">
      <c r="C61" s="130" t="s">
        <v>342</v>
      </c>
      <c r="D61" s="140" t="s">
        <v>304</v>
      </c>
    </row>
    <row r="62" spans="3:4" x14ac:dyDescent="0.35">
      <c r="C62" s="130" t="s">
        <v>306</v>
      </c>
      <c r="D62" s="140" t="s">
        <v>304</v>
      </c>
    </row>
    <row r="63" spans="3:4" x14ac:dyDescent="0.35">
      <c r="C63" s="130" t="s">
        <v>301</v>
      </c>
      <c r="D63" s="140" t="s">
        <v>470</v>
      </c>
    </row>
    <row r="64" spans="3:4" x14ac:dyDescent="0.35">
      <c r="C64" s="130" t="s">
        <v>465</v>
      </c>
      <c r="D64" s="140" t="s">
        <v>421</v>
      </c>
    </row>
    <row r="65" spans="3:4" x14ac:dyDescent="0.35">
      <c r="C65" s="130" t="s">
        <v>325</v>
      </c>
      <c r="D65" s="140" t="s">
        <v>43</v>
      </c>
    </row>
    <row r="66" spans="3:4" x14ac:dyDescent="0.35">
      <c r="C66" s="130" t="s">
        <v>323</v>
      </c>
      <c r="D66" s="140" t="s">
        <v>43</v>
      </c>
    </row>
    <row r="67" spans="3:4" x14ac:dyDescent="0.35">
      <c r="C67" s="130" t="s">
        <v>329</v>
      </c>
      <c r="D67" s="140" t="s">
        <v>43</v>
      </c>
    </row>
    <row r="68" spans="3:4" x14ac:dyDescent="0.35">
      <c r="C68" s="130" t="s">
        <v>168</v>
      </c>
      <c r="D68" s="140" t="s">
        <v>43</v>
      </c>
    </row>
    <row r="69" spans="3:4" x14ac:dyDescent="0.35">
      <c r="C69" s="130" t="s">
        <v>423</v>
      </c>
      <c r="D69" s="140" t="s">
        <v>421</v>
      </c>
    </row>
    <row r="70" spans="3:4" x14ac:dyDescent="0.35">
      <c r="C70" s="130" t="s">
        <v>86</v>
      </c>
      <c r="D70" s="140" t="s">
        <v>468</v>
      </c>
    </row>
    <row r="71" spans="3:4" x14ac:dyDescent="0.35">
      <c r="C71" s="130" t="s">
        <v>93</v>
      </c>
      <c r="D71" s="140" t="s">
        <v>43</v>
      </c>
    </row>
    <row r="72" spans="3:4" x14ac:dyDescent="0.35">
      <c r="C72" s="130" t="s">
        <v>77</v>
      </c>
      <c r="D72" s="140" t="s">
        <v>43</v>
      </c>
    </row>
    <row r="73" spans="3:4" x14ac:dyDescent="0.35">
      <c r="C73" s="130" t="s">
        <v>96</v>
      </c>
      <c r="D73" s="140" t="s">
        <v>43</v>
      </c>
    </row>
    <row r="74" spans="3:4" x14ac:dyDescent="0.35">
      <c r="C74" s="130" t="s">
        <v>347</v>
      </c>
      <c r="D74" s="140" t="s">
        <v>43</v>
      </c>
    </row>
    <row r="75" spans="3:4" x14ac:dyDescent="0.35">
      <c r="C75" s="130" t="s">
        <v>422</v>
      </c>
      <c r="D75" s="140" t="s">
        <v>421</v>
      </c>
    </row>
    <row r="76" spans="3:4" x14ac:dyDescent="0.35">
      <c r="C76" s="130" t="s">
        <v>278</v>
      </c>
      <c r="D76" s="140" t="s">
        <v>469</v>
      </c>
    </row>
    <row r="77" spans="3:4" x14ac:dyDescent="0.35">
      <c r="C77" s="130" t="s">
        <v>345</v>
      </c>
      <c r="D77" s="140" t="s">
        <v>43</v>
      </c>
    </row>
    <row r="78" spans="3:4" x14ac:dyDescent="0.35">
      <c r="C78" s="130" t="s">
        <v>346</v>
      </c>
      <c r="D78" s="140" t="s">
        <v>43</v>
      </c>
    </row>
    <row r="79" spans="3:4" x14ac:dyDescent="0.35">
      <c r="C79" s="130" t="s">
        <v>344</v>
      </c>
      <c r="D79" s="140" t="s">
        <v>43</v>
      </c>
    </row>
    <row r="80" spans="3:4" x14ac:dyDescent="0.35">
      <c r="C80" s="130" t="s">
        <v>52</v>
      </c>
      <c r="D80" s="140" t="s">
        <v>467</v>
      </c>
    </row>
    <row r="81" spans="3:4" x14ac:dyDescent="0.35">
      <c r="C81" s="130" t="s">
        <v>253</v>
      </c>
      <c r="D81" s="140" t="s">
        <v>467</v>
      </c>
    </row>
    <row r="82" spans="3:4" ht="15" thickBot="1" x14ac:dyDescent="0.4">
      <c r="C82" s="131" t="s">
        <v>70</v>
      </c>
      <c r="D82" s="141" t="s">
        <v>467</v>
      </c>
    </row>
  </sheetData>
  <autoFilter ref="C6:D82" xr:uid="{4A6378E2-FD05-49B0-9151-2741B42A7683}"/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ECB2-2A02-4354-AA96-DAD85E201EAE}">
  <sheetPr>
    <tabColor theme="4" tint="-0.249977111117893"/>
  </sheetPr>
  <dimension ref="A2:I24"/>
  <sheetViews>
    <sheetView zoomScale="115" zoomScaleNormal="115" workbookViewId="0">
      <selection activeCell="C37" sqref="C37"/>
    </sheetView>
  </sheetViews>
  <sheetFormatPr defaultRowHeight="14.5" x14ac:dyDescent="0.35"/>
  <cols>
    <col min="1" max="1" width="13.54296875" style="4" customWidth="1"/>
    <col min="2" max="2" width="34.1796875" style="4" customWidth="1"/>
    <col min="3" max="3" width="34.54296875" style="4" customWidth="1"/>
    <col min="4" max="4" width="39.54296875" style="4" customWidth="1"/>
    <col min="5" max="5" width="19.08984375" style="4" customWidth="1"/>
    <col min="6" max="6" width="18.1796875" style="4" customWidth="1"/>
    <col min="7" max="7" width="24.1796875" style="4" customWidth="1"/>
    <col min="8" max="8" width="20" style="4" customWidth="1"/>
    <col min="9" max="16384" width="8.7265625" style="4"/>
  </cols>
  <sheetData>
    <row r="2" spans="1:9" s="719" customFormat="1" x14ac:dyDescent="0.35">
      <c r="A2" s="4"/>
      <c r="B2" s="719" t="s">
        <v>932</v>
      </c>
    </row>
    <row r="3" spans="1:9" s="611" customFormat="1" x14ac:dyDescent="0.35">
      <c r="A3" s="4"/>
      <c r="B3" s="748" t="s">
        <v>965</v>
      </c>
    </row>
    <row r="4" spans="1:9" s="611" customFormat="1" x14ac:dyDescent="0.35">
      <c r="A4" s="4"/>
      <c r="B4" s="748" t="s">
        <v>966</v>
      </c>
    </row>
    <row r="7" spans="1:9" ht="18.5" x14ac:dyDescent="0.35">
      <c r="B7" s="1007" t="s">
        <v>364</v>
      </c>
      <c r="C7" s="1007"/>
      <c r="D7" s="1007"/>
      <c r="E7" s="1007"/>
      <c r="F7" s="1007"/>
      <c r="G7" s="1007"/>
      <c r="H7" s="3"/>
    </row>
    <row r="8" spans="1:9" ht="63" customHeight="1" x14ac:dyDescent="0.35">
      <c r="B8" s="18" t="s">
        <v>355</v>
      </c>
      <c r="C8" s="18" t="s">
        <v>365</v>
      </c>
      <c r="D8" s="18" t="s">
        <v>366</v>
      </c>
      <c r="E8" s="18" t="s">
        <v>367</v>
      </c>
      <c r="F8" s="18" t="s">
        <v>368</v>
      </c>
      <c r="G8" s="18" t="s">
        <v>369</v>
      </c>
      <c r="H8" s="5"/>
    </row>
    <row r="9" spans="1:9" ht="20" customHeight="1" x14ac:dyDescent="0.35">
      <c r="B9" s="6" t="s">
        <v>370</v>
      </c>
      <c r="C9" s="7">
        <f>D9*E9</f>
        <v>11542</v>
      </c>
      <c r="D9" s="7">
        <f>F9*G9</f>
        <v>11542</v>
      </c>
      <c r="E9" s="8">
        <v>1</v>
      </c>
      <c r="F9" s="9">
        <v>2.9</v>
      </c>
      <c r="G9" s="10">
        <v>3980</v>
      </c>
      <c r="H9" s="11"/>
      <c r="I9" s="12"/>
    </row>
    <row r="10" spans="1:9" ht="20" customHeight="1" x14ac:dyDescent="0.35">
      <c r="B10" s="6" t="s">
        <v>371</v>
      </c>
      <c r="C10" s="7">
        <f>D10*E10</f>
        <v>7625.5</v>
      </c>
      <c r="D10" s="7">
        <f>F10*G10</f>
        <v>15251</v>
      </c>
      <c r="E10" s="8">
        <v>0.5</v>
      </c>
      <c r="F10" s="9">
        <v>1</v>
      </c>
      <c r="G10" s="7">
        <v>15251</v>
      </c>
      <c r="H10" s="11"/>
    </row>
    <row r="11" spans="1:9" ht="20" customHeight="1" x14ac:dyDescent="0.35">
      <c r="B11" s="6" t="s">
        <v>372</v>
      </c>
      <c r="C11" s="7">
        <f>D11*E11</f>
        <v>4820.5</v>
      </c>
      <c r="D11" s="7">
        <f>F11*G11</f>
        <v>9641</v>
      </c>
      <c r="E11" s="8">
        <v>0.5</v>
      </c>
      <c r="F11" s="9">
        <v>1</v>
      </c>
      <c r="G11" s="7">
        <v>9641</v>
      </c>
      <c r="H11" s="11"/>
    </row>
    <row r="12" spans="1:9" ht="20" customHeight="1" x14ac:dyDescent="0.35">
      <c r="B12" s="13" t="s">
        <v>373</v>
      </c>
      <c r="C12" s="7">
        <f>D12*E12</f>
        <v>25053</v>
      </c>
      <c r="D12" s="7">
        <f>F12*G12</f>
        <v>25053</v>
      </c>
      <c r="E12" s="15">
        <v>1</v>
      </c>
      <c r="F12" s="16">
        <v>1</v>
      </c>
      <c r="G12" s="14">
        <v>25053</v>
      </c>
      <c r="H12" s="11"/>
    </row>
    <row r="13" spans="1:9" ht="20" customHeight="1" x14ac:dyDescent="0.35">
      <c r="B13" s="13" t="s">
        <v>374</v>
      </c>
      <c r="C13" s="7">
        <f>D13*E13</f>
        <v>0</v>
      </c>
      <c r="D13" s="7">
        <f>F13*G13</f>
        <v>0</v>
      </c>
      <c r="E13" s="15">
        <v>1</v>
      </c>
      <c r="F13" s="16">
        <v>1</v>
      </c>
      <c r="G13" s="14">
        <v>0</v>
      </c>
      <c r="H13" s="17"/>
    </row>
    <row r="14" spans="1:9" ht="20" customHeight="1" x14ac:dyDescent="0.35">
      <c r="B14" s="19" t="s">
        <v>375</v>
      </c>
      <c r="C14" s="18" t="s">
        <v>376</v>
      </c>
      <c r="D14" s="20">
        <v>1</v>
      </c>
      <c r="E14" s="18" t="s">
        <v>377</v>
      </c>
      <c r="F14" s="18" t="s">
        <v>378</v>
      </c>
      <c r="G14" s="18" t="s">
        <v>379</v>
      </c>
      <c r="H14" s="18" t="s">
        <v>380</v>
      </c>
    </row>
    <row r="15" spans="1:9" ht="20" customHeight="1" x14ac:dyDescent="0.35">
      <c r="B15" s="6" t="s">
        <v>381</v>
      </c>
      <c r="C15" s="7">
        <f>D9*F15+D10*H15</f>
        <v>19167.5</v>
      </c>
      <c r="D15" s="7">
        <f>D9+D10</f>
        <v>26793</v>
      </c>
      <c r="E15" s="9" t="s">
        <v>356</v>
      </c>
      <c r="F15" s="8">
        <v>1</v>
      </c>
      <c r="G15" s="9" t="s">
        <v>382</v>
      </c>
      <c r="H15" s="8">
        <v>0.5</v>
      </c>
      <c r="I15" s="739" t="s">
        <v>928</v>
      </c>
    </row>
    <row r="16" spans="1:9" ht="20" customHeight="1" x14ac:dyDescent="0.35">
      <c r="A16" s="122"/>
      <c r="B16" s="6" t="s">
        <v>383</v>
      </c>
      <c r="C16" s="7">
        <f>D9*F16+D11*H16</f>
        <v>16362.5</v>
      </c>
      <c r="D16" s="7">
        <f>D9+D11</f>
        <v>21183</v>
      </c>
      <c r="E16" s="9" t="s">
        <v>356</v>
      </c>
      <c r="F16" s="8">
        <v>1</v>
      </c>
      <c r="G16" s="9" t="s">
        <v>384</v>
      </c>
      <c r="H16" s="8">
        <v>0.5</v>
      </c>
    </row>
    <row r="17" spans="2:8" ht="20" customHeight="1" x14ac:dyDescent="0.35">
      <c r="B17" s="6" t="s">
        <v>385</v>
      </c>
      <c r="C17" s="7">
        <f>D12*F17+D10*H17</f>
        <v>32678.5</v>
      </c>
      <c r="D17" s="7">
        <f>D12+D10</f>
        <v>40304</v>
      </c>
      <c r="E17" s="9" t="s">
        <v>386</v>
      </c>
      <c r="F17" s="8">
        <v>1</v>
      </c>
      <c r="G17" s="9" t="s">
        <v>382</v>
      </c>
      <c r="H17" s="8">
        <v>0.5</v>
      </c>
    </row>
    <row r="20" spans="2:8" ht="15.5" x14ac:dyDescent="0.35">
      <c r="B20" s="740" t="s">
        <v>440</v>
      </c>
    </row>
    <row r="21" spans="2:8" x14ac:dyDescent="0.35">
      <c r="B21" s="123" t="s">
        <v>436</v>
      </c>
    </row>
    <row r="22" spans="2:8" x14ac:dyDescent="0.35">
      <c r="B22" s="123" t="s">
        <v>437</v>
      </c>
    </row>
    <row r="23" spans="2:8" x14ac:dyDescent="0.35">
      <c r="B23" s="123" t="s">
        <v>438</v>
      </c>
    </row>
    <row r="24" spans="2:8" x14ac:dyDescent="0.35">
      <c r="B24" s="123" t="s">
        <v>439</v>
      </c>
    </row>
  </sheetData>
  <mergeCells count="1">
    <mergeCell ref="B7:G7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D7B1-E104-451E-9163-3B2EE8C87BB2}">
  <sheetPr>
    <tabColor theme="4" tint="-0.249977111117893"/>
  </sheetPr>
  <dimension ref="B1:AO166"/>
  <sheetViews>
    <sheetView topLeftCell="A10" zoomScale="85" zoomScaleNormal="85" workbookViewId="0">
      <selection activeCell="I55" sqref="I55:J55"/>
    </sheetView>
  </sheetViews>
  <sheetFormatPr defaultRowHeight="14.5" x14ac:dyDescent="0.35"/>
  <cols>
    <col min="1" max="1" width="8.7265625" style="4"/>
    <col min="2" max="2" width="18.26953125" style="4" customWidth="1"/>
    <col min="3" max="3" width="69.7265625" style="4" bestFit="1" customWidth="1"/>
    <col min="4" max="4" width="47.7265625" style="4" bestFit="1" customWidth="1"/>
    <col min="5" max="5" width="31" style="4" bestFit="1" customWidth="1"/>
    <col min="6" max="6" width="8.7265625" style="4"/>
    <col min="7" max="7" width="19.08984375" style="208" bestFit="1" customWidth="1"/>
    <col min="8" max="8" width="7.7265625" style="208" bestFit="1" customWidth="1"/>
    <col min="9" max="9" width="50.54296875" style="208" bestFit="1" customWidth="1"/>
    <col min="10" max="10" width="25.36328125" style="208" customWidth="1"/>
    <col min="11" max="11" width="13.453125" style="208" customWidth="1"/>
    <col min="12" max="12" width="9.90625" style="208" bestFit="1" customWidth="1"/>
    <col min="13" max="13" width="9.54296875" style="208" bestFit="1" customWidth="1"/>
    <col min="14" max="17" width="9.08984375" style="208" bestFit="1" customWidth="1"/>
    <col min="18" max="18" width="8.453125" style="208" bestFit="1" customWidth="1"/>
    <col min="19" max="26" width="8.453125" style="208" hidden="1" customWidth="1"/>
    <col min="27" max="27" width="8.7265625" style="208"/>
    <col min="28" max="28" width="43.36328125" style="208" bestFit="1" customWidth="1"/>
    <col min="29" max="29" width="9.81640625" style="4" customWidth="1"/>
    <col min="30" max="31" width="10.26953125" style="4" customWidth="1"/>
    <col min="32" max="32" width="9.54296875" style="4" customWidth="1"/>
    <col min="33" max="33" width="10.26953125" style="4" customWidth="1"/>
    <col min="34" max="34" width="8.7265625" style="4"/>
    <col min="35" max="35" width="45.1796875" style="4" customWidth="1"/>
    <col min="36" max="36" width="23.90625" style="4" customWidth="1"/>
    <col min="37" max="37" width="7.26953125" style="4" customWidth="1"/>
    <col min="38" max="38" width="8.453125" style="4" customWidth="1"/>
    <col min="39" max="40" width="7.90625" style="4" customWidth="1"/>
    <col min="41" max="41" width="9.08984375" style="4" customWidth="1"/>
    <col min="42" max="16384" width="8.7265625" style="4"/>
  </cols>
  <sheetData>
    <row r="1" spans="2:41" x14ac:dyDescent="0.35">
      <c r="B1" s="719" t="s">
        <v>932</v>
      </c>
    </row>
    <row r="2" spans="2:41" ht="11.5" customHeight="1" x14ac:dyDescent="0.35">
      <c r="B2" s="748" t="s">
        <v>933</v>
      </c>
      <c r="AJ2" s="4">
        <f>IFERROR(SUM(INDEX('Raw Forecasting NPS Data'!$K$6:$O$165,MATCH('NPS with launch Dates '!$AI6,'Raw Forecasting NPS Data'!$H$6:$H$165,0),MATCH('NPS with launch Dates '!AK$5,'Raw Forecasting NPS Data'!$K$5:$O$5))),"-")</f>
        <v>0</v>
      </c>
    </row>
    <row r="3" spans="2:41" ht="17.5" customHeight="1" x14ac:dyDescent="0.35">
      <c r="B3" s="748" t="s">
        <v>969</v>
      </c>
    </row>
    <row r="4" spans="2:41" ht="21" customHeight="1" thickBot="1" x14ac:dyDescent="0.4">
      <c r="G4" s="4"/>
      <c r="H4" s="4"/>
      <c r="I4" s="4"/>
      <c r="J4" s="798" t="s">
        <v>1101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I4" s="720" t="s">
        <v>313</v>
      </c>
      <c r="AJ4" s="721" t="s">
        <v>935</v>
      </c>
    </row>
    <row r="5" spans="2:41" ht="21.5" customHeight="1" thickBot="1" x14ac:dyDescent="0.4">
      <c r="B5" s="151" t="s">
        <v>355</v>
      </c>
      <c r="C5" s="171" t="s">
        <v>4</v>
      </c>
      <c r="D5" s="171" t="s">
        <v>5</v>
      </c>
      <c r="E5" s="152" t="s">
        <v>8</v>
      </c>
      <c r="G5" s="151" t="s">
        <v>355</v>
      </c>
      <c r="H5" s="212" t="s">
        <v>356</v>
      </c>
      <c r="I5" s="171" t="s">
        <v>5</v>
      </c>
      <c r="J5" s="222" t="s">
        <v>471</v>
      </c>
      <c r="K5" s="1008" t="s">
        <v>466</v>
      </c>
      <c r="L5" s="1009"/>
      <c r="M5" s="1009"/>
      <c r="N5" s="1009"/>
      <c r="O5" s="1009"/>
      <c r="P5" s="1009"/>
      <c r="Q5" s="1009"/>
      <c r="R5" s="1009"/>
      <c r="S5" s="1009"/>
      <c r="T5" s="1009"/>
      <c r="U5" s="1009"/>
      <c r="V5" s="1009"/>
      <c r="W5" s="1009"/>
      <c r="X5" s="1009"/>
      <c r="Y5" s="1009"/>
      <c r="Z5" s="1010"/>
      <c r="AA5" s="4"/>
      <c r="AB5" s="151" t="s">
        <v>5</v>
      </c>
      <c r="AC5" s="217">
        <v>2023</v>
      </c>
      <c r="AD5" s="217">
        <v>2024</v>
      </c>
      <c r="AE5" s="217">
        <v>2025</v>
      </c>
      <c r="AF5" s="171">
        <v>2026</v>
      </c>
      <c r="AG5" s="152">
        <v>2027</v>
      </c>
      <c r="AI5" s="784" t="s">
        <v>934</v>
      </c>
      <c r="AJ5" s="785" t="s">
        <v>472</v>
      </c>
      <c r="AK5" s="793">
        <v>2023</v>
      </c>
      <c r="AL5" s="793">
        <v>2024</v>
      </c>
      <c r="AM5" s="793">
        <v>2025</v>
      </c>
      <c r="AN5" s="786">
        <v>2026</v>
      </c>
      <c r="AO5" s="787">
        <v>2027</v>
      </c>
    </row>
    <row r="6" spans="2:41" x14ac:dyDescent="0.35">
      <c r="B6" s="142" t="s">
        <v>43</v>
      </c>
      <c r="C6" s="145" t="s">
        <v>26</v>
      </c>
      <c r="D6" s="145" t="s">
        <v>27</v>
      </c>
      <c r="E6" s="170">
        <v>45324</v>
      </c>
      <c r="G6" s="142" t="str">
        <f>INDEX($B$6:$B$166,MATCH(I6,$D$6:$D$166,0))</f>
        <v>Keytruda</v>
      </c>
      <c r="H6" s="144">
        <v>0</v>
      </c>
      <c r="I6" s="145" t="s">
        <v>27</v>
      </c>
      <c r="J6" s="710">
        <f>K6</f>
        <v>45324</v>
      </c>
      <c r="K6" s="712" cm="1">
        <f t="array" ref="K6">TRANSPOSE(_xlfn._xlws.SORT(_xlfn.UNIQUE(_xlfn._xlws.FILTER($E$6:$E$166,$D$6:$D$166=I6))))</f>
        <v>45324</v>
      </c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70"/>
      <c r="AA6" s="4"/>
      <c r="AB6" s="190" t="str" cm="1">
        <f t="array" ref="AB6:AB16">_xlfn._xlws.FILTER($I$6:$I$59,$H$6:$H$59=1)</f>
        <v>Adjuvant Endo Chemo +/- Keytruda mono (KNB21)</v>
      </c>
      <c r="AC6" s="216">
        <f>INDEX('2.  Sales Data Key &amp; Key-Lyn'!$F$7:$J$60,MATCH('NPS with launch Dates '!$AB6,'2.  Sales Data Key &amp; Key-Lyn'!$C$7:$C$60,0),MATCH('NPS with launch Dates '!AC$5,'2.  Sales Data Key &amp; Key-Lyn'!$F$6:$J$6,0))</f>
        <v>122.32057672478</v>
      </c>
      <c r="AD6" s="216">
        <f>INDEX('2.  Sales Data Key &amp; Key-Lyn'!$F$7:$J$60,MATCH('NPS with launch Dates '!$AB6,'2.  Sales Data Key &amp; Key-Lyn'!$C$7:$C$60,0),MATCH('NPS with launch Dates '!AD$5,'2.  Sales Data Key &amp; Key-Lyn'!$F$6:$J$6,0))</f>
        <v>150.34246645845832</v>
      </c>
      <c r="AE6" s="216">
        <f>INDEX('2.  Sales Data Key &amp; Key-Lyn'!$F$7:$J$60,MATCH('NPS with launch Dates '!$AB6,'2.  Sales Data Key &amp; Key-Lyn'!$C$7:$C$60,0),MATCH('NPS with launch Dates '!AE$5,'2.  Sales Data Key &amp; Key-Lyn'!$F$6:$J$6,0))</f>
        <v>658.22348880620098</v>
      </c>
      <c r="AF6" s="195">
        <f>INDEX('2.  Sales Data Key &amp; Key-Lyn'!$F$7:$J$60,MATCH('NPS with launch Dates '!$AB6,'2.  Sales Data Key &amp; Key-Lyn'!$C$7:$C$60,0),MATCH('NPS with launch Dates '!AF$5,'2.  Sales Data Key &amp; Key-Lyn'!$F$6:$J$6,0))</f>
        <v>1286.681112834151</v>
      </c>
      <c r="AG6" s="196">
        <f>INDEX('2.  Sales Data Key &amp; Key-Lyn'!$F$7:$J$60,MATCH('NPS with launch Dates '!$AB6,'2.  Sales Data Key &amp; Key-Lyn'!$C$7:$C$60,0),MATCH('NPS with launch Dates '!AG$5,'2.  Sales Data Key &amp; Key-Lyn'!$F$6:$J$6,0))</f>
        <v>1388.5240997157596</v>
      </c>
      <c r="AI6" s="789" t="str" cm="1">
        <f t="array" ref="AI6:AI8">_xlfn._xlws.FILTER('Raw Forecasting NPS Data'!$H$6:$H$165,'Raw Forecasting NPS Data'!$I$6:$I$165='NPS with launch Dates '!$AI$4)</f>
        <v>SCLCKeytruda + Chemo (IND)Limited Stage SCLC</v>
      </c>
      <c r="AJ6" s="790" cm="1">
        <f t="array" ref="AJ6:AJ8">_xlfn._xlws.FILTER('Raw Forecasting NPS Data'!$Q$6:$Q$165,'Raw Forecasting NPS Data'!$I$6:$I$165='NPS with launch Dates '!$AI$4)</f>
        <v>46267</v>
      </c>
      <c r="AK6" s="794" cm="1">
        <f t="array" ref="AK6:AO8">_xlfn._xlws.FILTER('Raw Forecasting NPS Data'!$K$6:$O$165,'Raw Forecasting NPS Data'!$I$6:$I$165='NPS with launch Dates '!AI4)</f>
        <v>0</v>
      </c>
      <c r="AL6" s="794">
        <v>0</v>
      </c>
      <c r="AM6" s="794">
        <v>0</v>
      </c>
      <c r="AN6" s="791">
        <v>30.409022</v>
      </c>
      <c r="AO6" s="792">
        <v>309.60368899999997</v>
      </c>
    </row>
    <row r="7" spans="2:41" x14ac:dyDescent="0.35">
      <c r="B7" s="130" t="s">
        <v>43</v>
      </c>
      <c r="C7" s="22" t="s">
        <v>36</v>
      </c>
      <c r="D7" s="22" t="s">
        <v>344</v>
      </c>
      <c r="E7" s="168">
        <v>45324</v>
      </c>
      <c r="G7" s="130" t="str">
        <f t="shared" ref="G7:G59" si="0">INDEX($B$6:$B$166,MATCH(I7,$D$6:$D$166,0))</f>
        <v>Keytruda</v>
      </c>
      <c r="H7" s="138">
        <v>0</v>
      </c>
      <c r="I7" s="22" t="s">
        <v>344</v>
      </c>
      <c r="J7" s="710">
        <f t="shared" ref="J7:J59" si="1">K7</f>
        <v>45324</v>
      </c>
      <c r="K7" s="713" cm="1">
        <f t="array" ref="K7">TRANSPOSE(_xlfn._xlws.SORT(_xlfn.UNIQUE(_xlfn._xlws.FILTER($E$6:$E$166,$D$6:$D$166=I7))))</f>
        <v>45324</v>
      </c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68"/>
      <c r="AA7" s="4"/>
      <c r="AB7" s="186" t="str">
        <v>Keytruda - 2L+ Esoph</v>
      </c>
      <c r="AC7" s="214">
        <f>INDEX('2.  Sales Data Key &amp; Key-Lyn'!$F$7:$J$60,MATCH('NPS with launch Dates '!$AB7,'2.  Sales Data Key &amp; Key-Lyn'!$C$7:$C$60,0),MATCH('NPS with launch Dates '!AC$5,'2.  Sales Data Key &amp; Key-Lyn'!$F$6:$J$6,0))</f>
        <v>85</v>
      </c>
      <c r="AD7" s="214">
        <f>INDEX('2.  Sales Data Key &amp; Key-Lyn'!$F$7:$J$60,MATCH('NPS with launch Dates '!$AB7,'2.  Sales Data Key &amp; Key-Lyn'!$C$7:$C$60,0),MATCH('NPS with launch Dates '!AD$5,'2.  Sales Data Key &amp; Key-Lyn'!$F$6:$J$6,0))</f>
        <v>78</v>
      </c>
      <c r="AE7" s="214">
        <f>INDEX('2.  Sales Data Key &amp; Key-Lyn'!$F$7:$J$60,MATCH('NPS with launch Dates '!$AB7,'2.  Sales Data Key &amp; Key-Lyn'!$C$7:$C$60,0),MATCH('NPS with launch Dates '!AE$5,'2.  Sales Data Key &amp; Key-Lyn'!$F$6:$J$6,0))</f>
        <v>79</v>
      </c>
      <c r="AF7" s="198">
        <f>INDEX('2.  Sales Data Key &amp; Key-Lyn'!$F$7:$J$60,MATCH('NPS with launch Dates '!$AB7,'2.  Sales Data Key &amp; Key-Lyn'!$C$7:$C$60,0),MATCH('NPS with launch Dates '!AF$5,'2.  Sales Data Key &amp; Key-Lyn'!$F$6:$J$6,0))</f>
        <v>82</v>
      </c>
      <c r="AG7" s="199">
        <f>INDEX('2.  Sales Data Key &amp; Key-Lyn'!$F$7:$J$60,MATCH('NPS with launch Dates '!$AB7,'2.  Sales Data Key &amp; Key-Lyn'!$C$7:$C$60,0),MATCH('NPS with launch Dates '!AG$5,'2.  Sales Data Key &amp; Key-Lyn'!$F$6:$J$6,0))</f>
        <v>86</v>
      </c>
      <c r="AI7" s="186" t="str">
        <v>SCLCKeytruda + Chemo -&gt; Keyt only (IND+MTX)Limited Stage SCLC</v>
      </c>
      <c r="AJ7" s="788">
        <v>46270</v>
      </c>
      <c r="AK7" s="795">
        <v>0</v>
      </c>
      <c r="AL7" s="795">
        <v>0</v>
      </c>
      <c r="AM7" s="795">
        <v>0</v>
      </c>
      <c r="AN7" s="198">
        <v>4.5613530000000004</v>
      </c>
      <c r="AO7" s="199">
        <v>46.440554999999996</v>
      </c>
    </row>
    <row r="8" spans="2:41" x14ac:dyDescent="0.35">
      <c r="B8" s="130" t="s">
        <v>43</v>
      </c>
      <c r="C8" s="22" t="s">
        <v>39</v>
      </c>
      <c r="D8" s="22" t="s">
        <v>345</v>
      </c>
      <c r="E8" s="168">
        <v>44482</v>
      </c>
      <c r="G8" s="130" t="str">
        <f t="shared" si="0"/>
        <v>Keytruda</v>
      </c>
      <c r="H8" s="138">
        <v>0</v>
      </c>
      <c r="I8" s="22" t="s">
        <v>345</v>
      </c>
      <c r="J8" s="710">
        <f t="shared" si="1"/>
        <v>44482</v>
      </c>
      <c r="K8" s="713" cm="1">
        <f t="array" ref="K8">TRANSPOSE(_xlfn._xlws.SORT(_xlfn.UNIQUE(_xlfn._xlws.FILTER($E$6:$E$166,$D$6:$D$166=I8))))</f>
        <v>44482</v>
      </c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68"/>
      <c r="AA8" s="4"/>
      <c r="AB8" s="186" t="str">
        <v>Keytruda - 2L+ Gastric</v>
      </c>
      <c r="AC8" s="214">
        <f>INDEX('2.  Sales Data Key &amp; Key-Lyn'!$F$7:$J$60,MATCH('NPS with launch Dates '!$AB8,'2.  Sales Data Key &amp; Key-Lyn'!$C$7:$C$60,0),MATCH('NPS with launch Dates '!AC$5,'2.  Sales Data Key &amp; Key-Lyn'!$F$6:$J$6,0))</f>
        <v>32</v>
      </c>
      <c r="AD8" s="214">
        <f>INDEX('2.  Sales Data Key &amp; Key-Lyn'!$F$7:$J$60,MATCH('NPS with launch Dates '!$AB8,'2.  Sales Data Key &amp; Key-Lyn'!$C$7:$C$60,0),MATCH('NPS with launch Dates '!AD$5,'2.  Sales Data Key &amp; Key-Lyn'!$F$6:$J$6,0))</f>
        <v>22</v>
      </c>
      <c r="AE8" s="214">
        <f>INDEX('2.  Sales Data Key &amp; Key-Lyn'!$F$7:$J$60,MATCH('NPS with launch Dates '!$AB8,'2.  Sales Data Key &amp; Key-Lyn'!$C$7:$C$60,0),MATCH('NPS with launch Dates '!AE$5,'2.  Sales Data Key &amp; Key-Lyn'!$F$6:$J$6,0))</f>
        <v>20</v>
      </c>
      <c r="AF8" s="198">
        <f>INDEX('2.  Sales Data Key &amp; Key-Lyn'!$F$7:$J$60,MATCH('NPS with launch Dates '!$AB8,'2.  Sales Data Key &amp; Key-Lyn'!$C$7:$C$60,0),MATCH('NPS with launch Dates '!AF$5,'2.  Sales Data Key &amp; Key-Lyn'!$F$6:$J$6,0))</f>
        <v>20</v>
      </c>
      <c r="AG8" s="199">
        <f>INDEX('2.  Sales Data Key &amp; Key-Lyn'!$F$7:$J$60,MATCH('NPS with launch Dates '!$AB8,'2.  Sales Data Key &amp; Key-Lyn'!$C$7:$C$60,0),MATCH('NPS with launch Dates '!AG$5,'2.  Sales Data Key &amp; Key-Lyn'!$F$6:$J$6,0))</f>
        <v>21</v>
      </c>
      <c r="AI8" s="186" t="str">
        <v>SCLCKeytruda + Chemo -&gt; Lynparza (IND+MTX)Limited Stage SCLC</v>
      </c>
      <c r="AJ8" s="788">
        <v>46273</v>
      </c>
      <c r="AK8" s="795">
        <v>0</v>
      </c>
      <c r="AL8" s="795">
        <v>0</v>
      </c>
      <c r="AM8" s="795">
        <v>0</v>
      </c>
      <c r="AN8" s="198">
        <v>41.05218</v>
      </c>
      <c r="AO8" s="199">
        <v>417.96498100000002</v>
      </c>
    </row>
    <row r="9" spans="2:41" x14ac:dyDescent="0.35">
      <c r="B9" s="130" t="s">
        <v>43</v>
      </c>
      <c r="C9" s="22" t="s">
        <v>45</v>
      </c>
      <c r="D9" s="22" t="s">
        <v>346</v>
      </c>
      <c r="E9" s="168">
        <v>43263</v>
      </c>
      <c r="G9" s="130" t="str">
        <f t="shared" si="0"/>
        <v>Keytruda</v>
      </c>
      <c r="H9" s="138">
        <v>0</v>
      </c>
      <c r="I9" s="22" t="s">
        <v>346</v>
      </c>
      <c r="J9" s="710">
        <f t="shared" si="1"/>
        <v>43263</v>
      </c>
      <c r="K9" s="713" cm="1">
        <f t="array" ref="K9">TRANSPOSE(_xlfn._xlws.SORT(_xlfn.UNIQUE(_xlfn._xlws.FILTER($E$6:$E$166,$D$6:$D$166=I9))))</f>
        <v>43263</v>
      </c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68"/>
      <c r="AA9" s="4"/>
      <c r="AB9" s="186" t="str">
        <v>Keytruda - 1L R/M H&amp;N (KN-048)</v>
      </c>
      <c r="AC9" s="214">
        <f>INDEX('2.  Sales Data Key &amp; Key-Lyn'!$F$7:$J$60,MATCH('NPS with launch Dates '!$AB9,'2.  Sales Data Key &amp; Key-Lyn'!$C$7:$C$60,0),MATCH('NPS with launch Dates '!AC$5,'2.  Sales Data Key &amp; Key-Lyn'!$F$6:$J$6,0))</f>
        <v>786.87028897393179</v>
      </c>
      <c r="AD9" s="214">
        <f>INDEX('2.  Sales Data Key &amp; Key-Lyn'!$F$7:$J$60,MATCH('NPS with launch Dates '!$AB9,'2.  Sales Data Key &amp; Key-Lyn'!$C$7:$C$60,0),MATCH('NPS with launch Dates '!AD$5,'2.  Sales Data Key &amp; Key-Lyn'!$F$6:$J$6,0))</f>
        <v>869.42157164100388</v>
      </c>
      <c r="AE9" s="214">
        <f>INDEX('2.  Sales Data Key &amp; Key-Lyn'!$F$7:$J$60,MATCH('NPS with launch Dates '!$AB9,'2.  Sales Data Key &amp; Key-Lyn'!$C$7:$C$60,0),MATCH('NPS with launch Dates '!AE$5,'2.  Sales Data Key &amp; Key-Lyn'!$F$6:$J$6,0))</f>
        <v>923.05852229579466</v>
      </c>
      <c r="AF9" s="198">
        <f>INDEX('2.  Sales Data Key &amp; Key-Lyn'!$F$7:$J$60,MATCH('NPS with launch Dates '!$AB9,'2.  Sales Data Key &amp; Key-Lyn'!$C$7:$C$60,0),MATCH('NPS with launch Dates '!AF$5,'2.  Sales Data Key &amp; Key-Lyn'!$F$6:$J$6,0))</f>
        <v>1038.55883974843</v>
      </c>
      <c r="AG9" s="199">
        <f>INDEX('2.  Sales Data Key &amp; Key-Lyn'!$F$7:$J$60,MATCH('NPS with launch Dates '!$AB9,'2.  Sales Data Key &amp; Key-Lyn'!$C$7:$C$60,0),MATCH('NPS with launch Dates '!AG$5,'2.  Sales Data Key &amp; Key-Lyn'!$F$6:$J$6,0))</f>
        <v>1171.4424163357019</v>
      </c>
      <c r="AI9" s="186"/>
      <c r="AJ9" s="788"/>
      <c r="AK9" s="795"/>
      <c r="AL9" s="795"/>
      <c r="AM9" s="795"/>
      <c r="AN9" s="198"/>
      <c r="AO9" s="199"/>
    </row>
    <row r="10" spans="2:41" x14ac:dyDescent="0.35">
      <c r="B10" s="130" t="s">
        <v>467</v>
      </c>
      <c r="C10" s="22" t="s">
        <v>51</v>
      </c>
      <c r="D10" s="22" t="s">
        <v>52</v>
      </c>
      <c r="E10" s="168">
        <v>45444</v>
      </c>
      <c r="G10" s="130" t="str">
        <f t="shared" si="0"/>
        <v>Keytruda</v>
      </c>
      <c r="H10" s="138">
        <v>0</v>
      </c>
      <c r="I10" s="22" t="s">
        <v>55</v>
      </c>
      <c r="J10" s="710">
        <f t="shared" si="1"/>
        <v>43101</v>
      </c>
      <c r="K10" s="713" cm="1">
        <f t="array" ref="K10">TRANSPOSE(_xlfn._xlws.SORT(_xlfn.UNIQUE(_xlfn._xlws.FILTER($E$6:$E$166,$D$6:$D$166=I10))))</f>
        <v>43101</v>
      </c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68"/>
      <c r="AA10" s="4"/>
      <c r="AB10" s="186" t="str">
        <v>Keytruda - cHL/PMBCL</v>
      </c>
      <c r="AC10" s="214">
        <f>INDEX('2.  Sales Data Key &amp; Key-Lyn'!$F$7:$J$60,MATCH('NPS with launch Dates '!$AB10,'2.  Sales Data Key &amp; Key-Lyn'!$C$7:$C$60,0),MATCH('NPS with launch Dates '!AC$5,'2.  Sales Data Key &amp; Key-Lyn'!$F$6:$J$6,0))</f>
        <v>108</v>
      </c>
      <c r="AD10" s="214">
        <f>INDEX('2.  Sales Data Key &amp; Key-Lyn'!$F$7:$J$60,MATCH('NPS with launch Dates '!$AB10,'2.  Sales Data Key &amp; Key-Lyn'!$C$7:$C$60,0),MATCH('NPS with launch Dates '!AD$5,'2.  Sales Data Key &amp; Key-Lyn'!$F$6:$J$6,0))</f>
        <v>137</v>
      </c>
      <c r="AE10" s="214">
        <f>INDEX('2.  Sales Data Key &amp; Key-Lyn'!$F$7:$J$60,MATCH('NPS with launch Dates '!$AB10,'2.  Sales Data Key &amp; Key-Lyn'!$C$7:$C$60,0),MATCH('NPS with launch Dates '!AE$5,'2.  Sales Data Key &amp; Key-Lyn'!$F$6:$J$6,0))</f>
        <v>154.48181694236982</v>
      </c>
      <c r="AF10" s="198">
        <f>INDEX('2.  Sales Data Key &amp; Key-Lyn'!$F$7:$J$60,MATCH('NPS with launch Dates '!$AB10,'2.  Sales Data Key &amp; Key-Lyn'!$C$7:$C$60,0),MATCH('NPS with launch Dates '!AF$5,'2.  Sales Data Key &amp; Key-Lyn'!$F$6:$J$6,0))</f>
        <v>161.0551509707862</v>
      </c>
      <c r="AG10" s="199">
        <f>INDEX('2.  Sales Data Key &amp; Key-Lyn'!$F$7:$J$60,MATCH('NPS with launch Dates '!$AB10,'2.  Sales Data Key &amp; Key-Lyn'!$C$7:$C$60,0),MATCH('NPS with launch Dates '!AG$5,'2.  Sales Data Key &amp; Key-Lyn'!$F$6:$J$6,0))</f>
        <v>161.0551509707862</v>
      </c>
      <c r="AI10" s="186"/>
      <c r="AJ10" s="788"/>
      <c r="AK10" s="795"/>
      <c r="AL10" s="795"/>
      <c r="AM10" s="795"/>
      <c r="AN10" s="198"/>
      <c r="AO10" s="199"/>
    </row>
    <row r="11" spans="2:41" x14ac:dyDescent="0.35">
      <c r="B11" s="130" t="s">
        <v>43</v>
      </c>
      <c r="C11" s="22" t="s">
        <v>54</v>
      </c>
      <c r="D11" s="22" t="s">
        <v>55</v>
      </c>
      <c r="E11" s="168">
        <v>43101</v>
      </c>
      <c r="G11" s="130" t="str">
        <f t="shared" si="0"/>
        <v>Keytruda</v>
      </c>
      <c r="H11" s="138">
        <v>0</v>
      </c>
      <c r="I11" s="22" t="s">
        <v>59</v>
      </c>
      <c r="J11" s="710">
        <f t="shared" si="1"/>
        <v>43101</v>
      </c>
      <c r="K11" s="713" cm="1">
        <f t="array" ref="K11">TRANSPOSE(_xlfn._xlws.SORT(_xlfn.UNIQUE(_xlfn._xlws.FILTER($E$6:$E$166,$D$6:$D$166=I11))))</f>
        <v>43101</v>
      </c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68"/>
      <c r="AA11" s="4"/>
      <c r="AB11" s="186" t="str">
        <v>Key + Lyn - NSCLC</v>
      </c>
      <c r="AC11" s="214">
        <f>INDEX('2.  Sales Data Key &amp; Key-Lyn'!$F$7:$J$60,MATCH('NPS with launch Dates '!$AB11,'2.  Sales Data Key &amp; Key-Lyn'!$C$7:$C$60,0),MATCH('NPS with launch Dates '!AC$5,'2.  Sales Data Key &amp; Key-Lyn'!$F$6:$J$6,0))</f>
        <v>0</v>
      </c>
      <c r="AD11" s="214">
        <f>INDEX('2.  Sales Data Key &amp; Key-Lyn'!$F$7:$J$60,MATCH('NPS with launch Dates '!$AB11,'2.  Sales Data Key &amp; Key-Lyn'!$C$7:$C$60,0),MATCH('NPS with launch Dates '!AD$5,'2.  Sales Data Key &amp; Key-Lyn'!$F$6:$J$6,0))</f>
        <v>14.259934957529339</v>
      </c>
      <c r="AE11" s="214">
        <f>INDEX('2.  Sales Data Key &amp; Key-Lyn'!$F$7:$J$60,MATCH('NPS with launch Dates '!$AB11,'2.  Sales Data Key &amp; Key-Lyn'!$C$7:$C$60,0),MATCH('NPS with launch Dates '!AE$5,'2.  Sales Data Key &amp; Key-Lyn'!$F$6:$J$6,0))</f>
        <v>339.08920458827208</v>
      </c>
      <c r="AF11" s="198">
        <f>INDEX('2.  Sales Data Key &amp; Key-Lyn'!$F$7:$J$60,MATCH('NPS with launch Dates '!$AB11,'2.  Sales Data Key &amp; Key-Lyn'!$C$7:$C$60,0),MATCH('NPS with launch Dates '!AF$5,'2.  Sales Data Key &amp; Key-Lyn'!$F$6:$J$6,0))</f>
        <v>611.47813791393548</v>
      </c>
      <c r="AG11" s="199">
        <f>INDEX('2.  Sales Data Key &amp; Key-Lyn'!$F$7:$J$60,MATCH('NPS with launch Dates '!$AB11,'2.  Sales Data Key &amp; Key-Lyn'!$C$7:$C$60,0),MATCH('NPS with launch Dates '!AG$5,'2.  Sales Data Key &amp; Key-Lyn'!$F$6:$J$6,0))</f>
        <v>520.20055622732093</v>
      </c>
      <c r="AI11" s="186"/>
      <c r="AJ11" s="788"/>
      <c r="AK11" s="795"/>
      <c r="AL11" s="795"/>
      <c r="AM11" s="795"/>
      <c r="AN11" s="198"/>
      <c r="AO11" s="199"/>
    </row>
    <row r="12" spans="2:41" x14ac:dyDescent="0.35">
      <c r="B12" s="130" t="s">
        <v>43</v>
      </c>
      <c r="C12" s="22" t="s">
        <v>58</v>
      </c>
      <c r="D12" s="22" t="s">
        <v>59</v>
      </c>
      <c r="E12" s="168">
        <v>43101</v>
      </c>
      <c r="G12" s="130" t="str">
        <f t="shared" si="0"/>
        <v>Keytruda</v>
      </c>
      <c r="H12" s="138">
        <v>0</v>
      </c>
      <c r="I12" s="22" t="s">
        <v>64</v>
      </c>
      <c r="J12" s="710">
        <f t="shared" si="1"/>
        <v>43984</v>
      </c>
      <c r="K12" s="713" cm="1">
        <f t="array" ref="K12">TRANSPOSE(_xlfn._xlws.SORT(_xlfn.UNIQUE(_xlfn._xlws.FILTER($E$6:$E$166,$D$6:$D$166=I12))))</f>
        <v>43984</v>
      </c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68"/>
      <c r="AA12" s="4"/>
      <c r="AB12" s="186" t="str">
        <v>Keytruda + C-TROP ADC 1L NSCLC</v>
      </c>
      <c r="AC12" s="214">
        <f>INDEX('2.  Sales Data Key &amp; Key-Lyn'!$F$7:$J$60,MATCH('NPS with launch Dates '!$AB12,'2.  Sales Data Key &amp; Key-Lyn'!$C$7:$C$60,0),MATCH('NPS with launch Dates '!AC$5,'2.  Sales Data Key &amp; Key-Lyn'!$F$6:$J$6,0))</f>
        <v>0</v>
      </c>
      <c r="AD12" s="214">
        <f>INDEX('2.  Sales Data Key &amp; Key-Lyn'!$F$7:$J$60,MATCH('NPS with launch Dates '!$AB12,'2.  Sales Data Key &amp; Key-Lyn'!$C$7:$C$60,0),MATCH('NPS with launch Dates '!AD$5,'2.  Sales Data Key &amp; Key-Lyn'!$F$6:$J$6,0))</f>
        <v>0</v>
      </c>
      <c r="AE12" s="214">
        <f>INDEX('2.  Sales Data Key &amp; Key-Lyn'!$F$7:$J$60,MATCH('NPS with launch Dates '!$AB12,'2.  Sales Data Key &amp; Key-Lyn'!$C$7:$C$60,0),MATCH('NPS with launch Dates '!AE$5,'2.  Sales Data Key &amp; Key-Lyn'!$F$6:$J$6,0))</f>
        <v>0</v>
      </c>
      <c r="AF12" s="198">
        <f>INDEX('2.  Sales Data Key &amp; Key-Lyn'!$F$7:$J$60,MATCH('NPS with launch Dates '!$AB12,'2.  Sales Data Key &amp; Key-Lyn'!$C$7:$C$60,0),MATCH('NPS with launch Dates '!AF$5,'2.  Sales Data Key &amp; Key-Lyn'!$F$6:$J$6,0))</f>
        <v>7.5</v>
      </c>
      <c r="AG12" s="199">
        <f>INDEX('2.  Sales Data Key &amp; Key-Lyn'!$F$7:$J$60,MATCH('NPS with launch Dates '!$AB12,'2.  Sales Data Key &amp; Key-Lyn'!$C$7:$C$60,0),MATCH('NPS with launch Dates '!AG$5,'2.  Sales Data Key &amp; Key-Lyn'!$F$6:$J$6,0))</f>
        <v>107.8</v>
      </c>
      <c r="AI12" s="186"/>
      <c r="AJ12" s="788"/>
      <c r="AK12" s="795"/>
      <c r="AL12" s="795"/>
      <c r="AM12" s="795"/>
      <c r="AN12" s="198"/>
      <c r="AO12" s="199"/>
    </row>
    <row r="13" spans="2:41" x14ac:dyDescent="0.35">
      <c r="B13" s="130" t="s">
        <v>43</v>
      </c>
      <c r="C13" s="22" t="s">
        <v>61</v>
      </c>
      <c r="D13" s="22" t="s">
        <v>59</v>
      </c>
      <c r="E13" s="168">
        <v>43101</v>
      </c>
      <c r="G13" s="130" t="str">
        <f t="shared" si="0"/>
        <v>Keytruda</v>
      </c>
      <c r="H13" s="138">
        <v>0</v>
      </c>
      <c r="I13" s="22" t="s">
        <v>77</v>
      </c>
      <c r="J13" s="710">
        <f t="shared" si="1"/>
        <v>45140</v>
      </c>
      <c r="K13" s="713" cm="1">
        <f t="array" ref="K13">TRANSPOSE(_xlfn._xlws.SORT(_xlfn.UNIQUE(_xlfn._xlws.FILTER($E$6:$E$166,$D$6:$D$166=I13))))</f>
        <v>45140</v>
      </c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68"/>
      <c r="AA13" s="4"/>
      <c r="AB13" s="186" t="str">
        <v>Keytruda - 1L NSCLC</v>
      </c>
      <c r="AC13" s="214">
        <f>INDEX('2.  Sales Data Key &amp; Key-Lyn'!$F$7:$J$60,MATCH('NPS with launch Dates '!$AB13,'2.  Sales Data Key &amp; Key-Lyn'!$C$7:$C$60,0),MATCH('NPS with launch Dates '!AC$5,'2.  Sales Data Key &amp; Key-Lyn'!$F$6:$J$6,0))</f>
        <v>3029.2</v>
      </c>
      <c r="AD13" s="214">
        <f>INDEX('2.  Sales Data Key &amp; Key-Lyn'!$F$7:$J$60,MATCH('NPS with launch Dates '!$AB13,'2.  Sales Data Key &amp; Key-Lyn'!$C$7:$C$60,0),MATCH('NPS with launch Dates '!AD$5,'2.  Sales Data Key &amp; Key-Lyn'!$F$6:$J$6,0))</f>
        <v>2935.8</v>
      </c>
      <c r="AE13" s="214">
        <f>INDEX('2.  Sales Data Key &amp; Key-Lyn'!$F$7:$J$60,MATCH('NPS with launch Dates '!$AB13,'2.  Sales Data Key &amp; Key-Lyn'!$C$7:$C$60,0),MATCH('NPS with launch Dates '!AE$5,'2.  Sales Data Key &amp; Key-Lyn'!$F$6:$J$6,0))</f>
        <v>2457.6999999999998</v>
      </c>
      <c r="AF13" s="198">
        <f>INDEX('2.  Sales Data Key &amp; Key-Lyn'!$F$7:$J$60,MATCH('NPS with launch Dates '!$AB13,'2.  Sales Data Key &amp; Key-Lyn'!$C$7:$C$60,0),MATCH('NPS with launch Dates '!AF$5,'2.  Sales Data Key &amp; Key-Lyn'!$F$6:$J$6,0))</f>
        <v>1969.4</v>
      </c>
      <c r="AG13" s="199">
        <f>INDEX('2.  Sales Data Key &amp; Key-Lyn'!$F$7:$J$60,MATCH('NPS with launch Dates '!$AB13,'2.  Sales Data Key &amp; Key-Lyn'!$C$7:$C$60,0),MATCH('NPS with launch Dates '!AG$5,'2.  Sales Data Key &amp; Key-Lyn'!$F$6:$J$6,0))</f>
        <v>1608.3</v>
      </c>
      <c r="AI13" s="186"/>
      <c r="AJ13" s="788"/>
      <c r="AK13" s="795"/>
      <c r="AL13" s="795"/>
      <c r="AM13" s="795"/>
      <c r="AN13" s="198"/>
      <c r="AO13" s="199"/>
    </row>
    <row r="14" spans="2:41" x14ac:dyDescent="0.35">
      <c r="B14" s="130" t="s">
        <v>43</v>
      </c>
      <c r="C14" s="22" t="s">
        <v>63</v>
      </c>
      <c r="D14" s="22" t="s">
        <v>64</v>
      </c>
      <c r="E14" s="168">
        <v>43984</v>
      </c>
      <c r="G14" s="130" t="str">
        <f t="shared" si="0"/>
        <v>Keytruda</v>
      </c>
      <c r="H14" s="138">
        <v>1</v>
      </c>
      <c r="I14" s="211" t="s">
        <v>347</v>
      </c>
      <c r="J14" s="710">
        <f>L14</f>
        <v>45506</v>
      </c>
      <c r="K14" s="765" cm="1">
        <f t="array" ref="K14:L14">TRANSPOSE(_xlfn._xlws.SORT(_xlfn.UNIQUE(_xlfn._xlws.FILTER($E$6:$E$166,$D$6:$D$166=I14))))</f>
        <v>42887</v>
      </c>
      <c r="L14" s="766">
        <v>45506</v>
      </c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68"/>
      <c r="AA14" s="4"/>
      <c r="AB14" s="186" t="str">
        <v>Key + Lyn - Ovarian</v>
      </c>
      <c r="AC14" s="214">
        <f>INDEX('2.  Sales Data Key &amp; Key-Lyn'!$F$7:$J$60,MATCH('NPS with launch Dates '!$AB14,'2.  Sales Data Key &amp; Key-Lyn'!$C$7:$C$60,0),MATCH('NPS with launch Dates '!AC$5,'2.  Sales Data Key &amp; Key-Lyn'!$F$6:$J$6,0))</f>
        <v>0</v>
      </c>
      <c r="AD14" s="214">
        <f>INDEX('2.  Sales Data Key &amp; Key-Lyn'!$F$7:$J$60,MATCH('NPS with launch Dates '!$AB14,'2.  Sales Data Key &amp; Key-Lyn'!$C$7:$C$60,0),MATCH('NPS with launch Dates '!AD$5,'2.  Sales Data Key &amp; Key-Lyn'!$F$6:$J$6,0))</f>
        <v>0.17630747865854599</v>
      </c>
      <c r="AE14" s="214">
        <f>INDEX('2.  Sales Data Key &amp; Key-Lyn'!$F$7:$J$60,MATCH('NPS with launch Dates '!$AB14,'2.  Sales Data Key &amp; Key-Lyn'!$C$7:$C$60,0),MATCH('NPS with launch Dates '!AE$5,'2.  Sales Data Key &amp; Key-Lyn'!$F$6:$J$6,0))</f>
        <v>99.659934243841249</v>
      </c>
      <c r="AF14" s="198">
        <f>INDEX('2.  Sales Data Key &amp; Key-Lyn'!$F$7:$J$60,MATCH('NPS with launch Dates '!$AB14,'2.  Sales Data Key &amp; Key-Lyn'!$C$7:$C$60,0),MATCH('NPS with launch Dates '!AF$5,'2.  Sales Data Key &amp; Key-Lyn'!$F$6:$J$6,0))</f>
        <v>359.55856062877666</v>
      </c>
      <c r="AG14" s="199">
        <f>INDEX('2.  Sales Data Key &amp; Key-Lyn'!$F$7:$J$60,MATCH('NPS with launch Dates '!$AB14,'2.  Sales Data Key &amp; Key-Lyn'!$C$7:$C$60,0),MATCH('NPS with launch Dates '!AG$5,'2.  Sales Data Key &amp; Key-Lyn'!$F$6:$J$6,0))</f>
        <v>459.63094689415669</v>
      </c>
      <c r="AI14" s="186"/>
      <c r="AJ14" s="788"/>
      <c r="AK14" s="795"/>
      <c r="AL14" s="795"/>
      <c r="AM14" s="795"/>
      <c r="AN14" s="198"/>
      <c r="AO14" s="199"/>
    </row>
    <row r="15" spans="2:41" x14ac:dyDescent="0.35">
      <c r="B15" s="130" t="s">
        <v>43</v>
      </c>
      <c r="C15" s="22" t="s">
        <v>66</v>
      </c>
      <c r="D15" s="22" t="s">
        <v>64</v>
      </c>
      <c r="E15" s="168">
        <v>43984</v>
      </c>
      <c r="G15" s="130" t="str">
        <f t="shared" si="0"/>
        <v>Keytruda</v>
      </c>
      <c r="H15" s="138">
        <v>0</v>
      </c>
      <c r="I15" s="22" t="s">
        <v>93</v>
      </c>
      <c r="J15" s="710">
        <f t="shared" si="1"/>
        <v>43101</v>
      </c>
      <c r="K15" s="713" cm="1">
        <f t="array" ref="K15">TRANSPOSE(_xlfn._xlws.SORT(_xlfn.UNIQUE(_xlfn._xlws.FILTER($E$6:$E$166,$D$6:$D$166=I15))))</f>
        <v>43101</v>
      </c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68"/>
      <c r="AA15" s="4"/>
      <c r="AB15" s="186" t="str">
        <v>Key + Lyn - SCLC</v>
      </c>
      <c r="AC15" s="214">
        <f>INDEX('2.  Sales Data Key &amp; Key-Lyn'!$F$7:$J$60,MATCH('NPS with launch Dates '!$AB15,'2.  Sales Data Key &amp; Key-Lyn'!$C$7:$C$60,0),MATCH('NPS with launch Dates '!AC$5,'2.  Sales Data Key &amp; Key-Lyn'!$F$6:$J$6,0))</f>
        <v>0</v>
      </c>
      <c r="AD15" s="214">
        <f>INDEX('2.  Sales Data Key &amp; Key-Lyn'!$F$7:$J$60,MATCH('NPS with launch Dates '!$AB15,'2.  Sales Data Key &amp; Key-Lyn'!$C$7:$C$60,0),MATCH('NPS with launch Dates '!AD$5,'2.  Sales Data Key &amp; Key-Lyn'!$F$6:$J$6,0))</f>
        <v>0</v>
      </c>
      <c r="AE15" s="214">
        <f>INDEX('2.  Sales Data Key &amp; Key-Lyn'!$F$7:$J$60,MATCH('NPS with launch Dates '!$AB15,'2.  Sales Data Key &amp; Key-Lyn'!$C$7:$C$60,0),MATCH('NPS with launch Dates '!AE$5,'2.  Sales Data Key &amp; Key-Lyn'!$F$6:$J$6,0))</f>
        <v>0</v>
      </c>
      <c r="AF15" s="198">
        <f>INDEX('2.  Sales Data Key &amp; Key-Lyn'!$F$7:$J$60,MATCH('NPS with launch Dates '!$AB15,'2.  Sales Data Key &amp; Key-Lyn'!$C$7:$C$60,0),MATCH('NPS with launch Dates '!AF$5,'2.  Sales Data Key &amp; Key-Lyn'!$F$6:$J$6,0))</f>
        <v>2.2018391666278792</v>
      </c>
      <c r="AG15" s="199">
        <f>INDEX('2.  Sales Data Key &amp; Key-Lyn'!$F$7:$J$60,MATCH('NPS with launch Dates '!$AB15,'2.  Sales Data Key &amp; Key-Lyn'!$C$7:$C$60,0),MATCH('NPS with launch Dates '!AG$5,'2.  Sales Data Key &amp; Key-Lyn'!$F$6:$J$6,0))</f>
        <v>54.334536173549523</v>
      </c>
      <c r="AI15" s="186"/>
      <c r="AJ15" s="788"/>
      <c r="AK15" s="795"/>
      <c r="AL15" s="795"/>
      <c r="AM15" s="795"/>
      <c r="AN15" s="198"/>
      <c r="AO15" s="199"/>
    </row>
    <row r="16" spans="2:41" ht="15" thickBot="1" x14ac:dyDescent="0.4">
      <c r="B16" s="130" t="s">
        <v>467</v>
      </c>
      <c r="C16" s="22" t="s">
        <v>69</v>
      </c>
      <c r="D16" s="22" t="s">
        <v>70</v>
      </c>
      <c r="E16" s="168"/>
      <c r="G16" s="130" t="str">
        <f t="shared" si="0"/>
        <v>Keytruda</v>
      </c>
      <c r="H16" s="138">
        <v>0</v>
      </c>
      <c r="I16" s="22" t="s">
        <v>96</v>
      </c>
      <c r="J16" s="710">
        <f t="shared" si="1"/>
        <v>43101</v>
      </c>
      <c r="K16" s="713" cm="1">
        <f t="array" ref="K16">TRANSPOSE(_xlfn._xlws.SORT(_xlfn.UNIQUE(_xlfn._xlws.FILTER($E$6:$E$166,$D$6:$D$166=I16))))</f>
        <v>43101</v>
      </c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68"/>
      <c r="AA16" s="4"/>
      <c r="AB16" s="187" t="str">
        <v>Keytruda - Neoadjuvant &amp; Adjuvant TNBC</v>
      </c>
      <c r="AC16" s="215">
        <f>INDEX('2.  Sales Data Key &amp; Key-Lyn'!$F$7:$J$60,MATCH('NPS with launch Dates '!$AB16,'2.  Sales Data Key &amp; Key-Lyn'!$C$7:$C$60,0),MATCH('NPS with launch Dates '!AC$5,'2.  Sales Data Key &amp; Key-Lyn'!$F$6:$J$6,0))</f>
        <v>1847.1948834669101</v>
      </c>
      <c r="AD16" s="215">
        <f>INDEX('2.  Sales Data Key &amp; Key-Lyn'!$F$7:$J$60,MATCH('NPS with launch Dates '!$AB16,'2.  Sales Data Key &amp; Key-Lyn'!$C$7:$C$60,0),MATCH('NPS with launch Dates '!AD$5,'2.  Sales Data Key &amp; Key-Lyn'!$F$6:$J$6,0))</f>
        <v>1971.9526250215729</v>
      </c>
      <c r="AE16" s="215">
        <f>INDEX('2.  Sales Data Key &amp; Key-Lyn'!$F$7:$J$60,MATCH('NPS with launch Dates '!$AB16,'2.  Sales Data Key &amp; Key-Lyn'!$C$7:$C$60,0),MATCH('NPS with launch Dates '!AE$5,'2.  Sales Data Key &amp; Key-Lyn'!$F$6:$J$6,0))</f>
        <v>1920.6207958798323</v>
      </c>
      <c r="AF16" s="201">
        <f>INDEX('2.  Sales Data Key &amp; Key-Lyn'!$F$7:$J$60,MATCH('NPS with launch Dates '!$AB16,'2.  Sales Data Key &amp; Key-Lyn'!$C$7:$C$60,0),MATCH('NPS with launch Dates '!AF$5,'2.  Sales Data Key &amp; Key-Lyn'!$F$6:$J$6,0))</f>
        <v>1983.179015052933</v>
      </c>
      <c r="AG16" s="202">
        <f>INDEX('2.  Sales Data Key &amp; Key-Lyn'!$F$7:$J$60,MATCH('NPS with launch Dates '!$AB16,'2.  Sales Data Key &amp; Key-Lyn'!$C$7:$C$60,0),MATCH('NPS with launch Dates '!AG$5,'2.  Sales Data Key &amp; Key-Lyn'!$F$6:$J$6,0))</f>
        <v>2042.0389045370198</v>
      </c>
      <c r="AI16" s="186"/>
      <c r="AJ16" s="788"/>
      <c r="AK16" s="795"/>
      <c r="AL16" s="795"/>
      <c r="AM16" s="795"/>
      <c r="AN16" s="198"/>
      <c r="AO16" s="199"/>
    </row>
    <row r="17" spans="2:41" x14ac:dyDescent="0.35">
      <c r="B17" s="130" t="s">
        <v>43</v>
      </c>
      <c r="C17" s="22" t="s">
        <v>76</v>
      </c>
      <c r="D17" s="22" t="s">
        <v>77</v>
      </c>
      <c r="E17" s="168">
        <v>45140</v>
      </c>
      <c r="G17" s="130" t="str">
        <f t="shared" si="0"/>
        <v>Keytruda</v>
      </c>
      <c r="H17" s="138">
        <v>0</v>
      </c>
      <c r="I17" s="22" t="s">
        <v>102</v>
      </c>
      <c r="J17" s="710">
        <f t="shared" si="1"/>
        <v>46236</v>
      </c>
      <c r="K17" s="713" cm="1">
        <f t="array" ref="K17">TRANSPOSE(_xlfn._xlws.SORT(_xlfn.UNIQUE(_xlfn._xlws.FILTER($E$6:$E$166,$D$6:$D$166=I17))))</f>
        <v>46236</v>
      </c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68"/>
      <c r="AA17" s="4"/>
      <c r="AB17" s="4"/>
      <c r="AI17" s="186"/>
      <c r="AJ17" s="788"/>
      <c r="AK17" s="796"/>
      <c r="AL17" s="796"/>
      <c r="AM17" s="796"/>
      <c r="AN17" s="178"/>
      <c r="AO17" s="744"/>
    </row>
    <row r="18" spans="2:41" x14ac:dyDescent="0.35">
      <c r="B18" s="130" t="s">
        <v>43</v>
      </c>
      <c r="C18" s="22" t="s">
        <v>82</v>
      </c>
      <c r="D18" s="22" t="s">
        <v>347</v>
      </c>
      <c r="E18" s="168">
        <v>45506</v>
      </c>
      <c r="G18" s="130" t="str">
        <f t="shared" si="0"/>
        <v>Keytruda</v>
      </c>
      <c r="H18" s="138">
        <v>0</v>
      </c>
      <c r="I18" s="22" t="s">
        <v>108</v>
      </c>
      <c r="J18" s="710">
        <f t="shared" si="1"/>
        <v>44256</v>
      </c>
      <c r="K18" s="713" cm="1">
        <f t="array" ref="K18">TRANSPOSE(_xlfn._xlws.SORT(_xlfn.UNIQUE(_xlfn._xlws.FILTER($E$6:$E$166,$D$6:$D$166=I18))))</f>
        <v>44256</v>
      </c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68"/>
      <c r="AA18" s="4"/>
      <c r="AB18" s="4"/>
      <c r="AI18" s="186"/>
      <c r="AJ18" s="788"/>
      <c r="AK18" s="796"/>
      <c r="AL18" s="796"/>
      <c r="AM18" s="796"/>
      <c r="AN18" s="178"/>
      <c r="AO18" s="744"/>
    </row>
    <row r="19" spans="2:41" x14ac:dyDescent="0.35">
      <c r="B19" s="130" t="s">
        <v>468</v>
      </c>
      <c r="C19" s="22" t="s">
        <v>85</v>
      </c>
      <c r="D19" s="22" t="s">
        <v>86</v>
      </c>
      <c r="E19" s="168">
        <v>43313</v>
      </c>
      <c r="G19" s="130" t="str">
        <f t="shared" si="0"/>
        <v>Keytruda</v>
      </c>
      <c r="H19" s="138">
        <v>1</v>
      </c>
      <c r="I19" s="211" t="s">
        <v>110</v>
      </c>
      <c r="J19" s="710">
        <f>K19</f>
        <v>43678</v>
      </c>
      <c r="K19" s="713" cm="1">
        <f t="array" ref="K19:L19">TRANSPOSE(_xlfn._xlws.SORT(_xlfn.UNIQUE(_xlfn._xlws.FILTER($E$6:$E$166,$D$6:$D$166=I19))))</f>
        <v>43678</v>
      </c>
      <c r="L19" s="126">
        <v>44256</v>
      </c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68"/>
      <c r="AA19" s="4"/>
      <c r="AB19" s="4"/>
      <c r="AI19" s="186"/>
      <c r="AJ19" s="788"/>
      <c r="AK19" s="796"/>
      <c r="AL19" s="796"/>
      <c r="AM19" s="796"/>
      <c r="AN19" s="178"/>
      <c r="AO19" s="744"/>
    </row>
    <row r="20" spans="2:41" x14ac:dyDescent="0.35">
      <c r="B20" s="130" t="s">
        <v>468</v>
      </c>
      <c r="C20" s="22" t="s">
        <v>88</v>
      </c>
      <c r="D20" s="22" t="s">
        <v>86</v>
      </c>
      <c r="E20" s="168">
        <v>43466</v>
      </c>
      <c r="G20" s="130" t="str">
        <f t="shared" si="0"/>
        <v>Keytruda</v>
      </c>
      <c r="H20" s="138">
        <v>0</v>
      </c>
      <c r="I20" s="22" t="s">
        <v>122</v>
      </c>
      <c r="J20" s="710">
        <f t="shared" si="1"/>
        <v>45293</v>
      </c>
      <c r="K20" s="713" cm="1">
        <f t="array" ref="K20">TRANSPOSE(_xlfn._xlws.SORT(_xlfn.UNIQUE(_xlfn._xlws.FILTER($E$6:$E$166,$D$6:$D$166=I20))))</f>
        <v>45293</v>
      </c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68"/>
      <c r="AA20" s="4"/>
      <c r="AI20" s="186"/>
      <c r="AJ20" s="788"/>
      <c r="AK20" s="796"/>
      <c r="AL20" s="796"/>
      <c r="AM20" s="796"/>
      <c r="AN20" s="178"/>
      <c r="AO20" s="744"/>
    </row>
    <row r="21" spans="2:41" x14ac:dyDescent="0.35">
      <c r="B21" s="130" t="s">
        <v>468</v>
      </c>
      <c r="C21" s="22" t="s">
        <v>91</v>
      </c>
      <c r="D21" s="22" t="s">
        <v>86</v>
      </c>
      <c r="E21" s="168">
        <v>43466</v>
      </c>
      <c r="G21" s="130" t="str">
        <f t="shared" si="0"/>
        <v>Keytruda</v>
      </c>
      <c r="H21" s="138">
        <v>0</v>
      </c>
      <c r="I21" s="22" t="s">
        <v>124</v>
      </c>
      <c r="J21" s="710">
        <f t="shared" si="1"/>
        <v>43800</v>
      </c>
      <c r="K21" s="713" cm="1">
        <f t="array" ref="K21">TRANSPOSE(_xlfn._xlws.SORT(_xlfn.UNIQUE(_xlfn._xlws.FILTER($E$6:$E$166,$D$6:$D$166=I21))))</f>
        <v>43800</v>
      </c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68"/>
      <c r="AA21" s="4"/>
      <c r="AI21" s="186"/>
      <c r="AJ21" s="788"/>
      <c r="AK21" s="796"/>
      <c r="AL21" s="796"/>
      <c r="AM21" s="796"/>
      <c r="AN21" s="178"/>
      <c r="AO21" s="744"/>
    </row>
    <row r="22" spans="2:41" x14ac:dyDescent="0.35">
      <c r="B22" s="130" t="s">
        <v>43</v>
      </c>
      <c r="C22" s="22" t="s">
        <v>92</v>
      </c>
      <c r="D22" s="22" t="s">
        <v>93</v>
      </c>
      <c r="E22" s="168">
        <v>43101</v>
      </c>
      <c r="G22" s="130" t="str">
        <f t="shared" si="0"/>
        <v>Keytruda</v>
      </c>
      <c r="H22" s="138">
        <v>1</v>
      </c>
      <c r="I22" s="211" t="s">
        <v>126</v>
      </c>
      <c r="J22" s="710">
        <f>L22</f>
        <v>43800</v>
      </c>
      <c r="K22" s="713" cm="1">
        <f t="array" ref="K22:L22">TRANSPOSE(_xlfn._xlws.SORT(_xlfn.UNIQUE(_xlfn._xlws.FILTER($E$6:$E$166,$D$6:$D$166=I22))))</f>
        <v>43132</v>
      </c>
      <c r="L22" s="126">
        <v>43800</v>
      </c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68"/>
      <c r="AA22" s="4"/>
      <c r="AI22" s="186"/>
      <c r="AJ22" s="788"/>
      <c r="AK22" s="796"/>
      <c r="AL22" s="796"/>
      <c r="AM22" s="796"/>
      <c r="AN22" s="178"/>
      <c r="AO22" s="744"/>
    </row>
    <row r="23" spans="2:41" x14ac:dyDescent="0.35">
      <c r="B23" s="130" t="s">
        <v>43</v>
      </c>
      <c r="C23" s="22" t="s">
        <v>95</v>
      </c>
      <c r="D23" s="22" t="s">
        <v>96</v>
      </c>
      <c r="E23" s="168">
        <v>43101</v>
      </c>
      <c r="G23" s="130" t="str">
        <f t="shared" si="0"/>
        <v>Keytruda</v>
      </c>
      <c r="H23" s="138">
        <v>0</v>
      </c>
      <c r="I23" s="22" t="s">
        <v>133</v>
      </c>
      <c r="J23" s="710">
        <f t="shared" si="1"/>
        <v>43101</v>
      </c>
      <c r="K23" s="713" cm="1">
        <f t="array" ref="K23">TRANSPOSE(_xlfn._xlws.SORT(_xlfn.UNIQUE(_xlfn._xlws.FILTER($E$6:$E$166,$D$6:$D$166=I23))))</f>
        <v>43101</v>
      </c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68"/>
      <c r="AA23" s="4"/>
      <c r="AI23" s="186"/>
      <c r="AJ23" s="788"/>
      <c r="AK23" s="796"/>
      <c r="AL23" s="796"/>
      <c r="AM23" s="796"/>
      <c r="AN23" s="178"/>
      <c r="AO23" s="744"/>
    </row>
    <row r="24" spans="2:41" x14ac:dyDescent="0.35">
      <c r="B24" s="130" t="s">
        <v>43</v>
      </c>
      <c r="C24" s="22" t="s">
        <v>97</v>
      </c>
      <c r="D24" s="22" t="s">
        <v>347</v>
      </c>
      <c r="E24" s="168">
        <v>42887</v>
      </c>
      <c r="G24" s="130" t="str">
        <f t="shared" si="0"/>
        <v>Keytruda</v>
      </c>
      <c r="H24" s="138">
        <v>0</v>
      </c>
      <c r="I24" s="22" t="s">
        <v>136</v>
      </c>
      <c r="J24" s="710">
        <f t="shared" si="1"/>
        <v>45840</v>
      </c>
      <c r="K24" s="713" cm="1">
        <f t="array" ref="K24">TRANSPOSE(_xlfn._xlws.SORT(_xlfn.UNIQUE(_xlfn._xlws.FILTER($E$6:$E$166,$D$6:$D$166=I24))))</f>
        <v>45840</v>
      </c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68"/>
      <c r="AA24" s="4"/>
      <c r="AI24" s="186"/>
      <c r="AJ24" s="788"/>
      <c r="AK24" s="796"/>
      <c r="AL24" s="796"/>
      <c r="AM24" s="796"/>
      <c r="AN24" s="178"/>
      <c r="AO24" s="744"/>
    </row>
    <row r="25" spans="2:41" x14ac:dyDescent="0.35">
      <c r="B25" s="130" t="s">
        <v>43</v>
      </c>
      <c r="C25" s="22" t="s">
        <v>101</v>
      </c>
      <c r="D25" s="22" t="s">
        <v>102</v>
      </c>
      <c r="E25" s="168">
        <v>46236</v>
      </c>
      <c r="G25" s="130" t="str">
        <f t="shared" si="0"/>
        <v>Keytruda</v>
      </c>
      <c r="H25" s="138">
        <v>1</v>
      </c>
      <c r="I25" s="211" t="s">
        <v>149</v>
      </c>
      <c r="J25" s="710">
        <f>K25</f>
        <v>43101</v>
      </c>
      <c r="K25" s="713" cm="1">
        <f t="array" ref="K25:L25">TRANSPOSE(_xlfn._xlws.SORT(_xlfn.UNIQUE(_xlfn._xlws.FILTER($E$6:$E$166,$D$6:$D$166=I25))))</f>
        <v>43101</v>
      </c>
      <c r="L25" s="126">
        <v>43618</v>
      </c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68"/>
      <c r="AA25" s="4"/>
      <c r="AI25" s="186"/>
      <c r="AJ25" s="788"/>
      <c r="AK25" s="796"/>
      <c r="AL25" s="796"/>
      <c r="AM25" s="796"/>
      <c r="AN25" s="178"/>
      <c r="AO25" s="744"/>
    </row>
    <row r="26" spans="2:41" x14ac:dyDescent="0.35">
      <c r="B26" s="130" t="s">
        <v>468</v>
      </c>
      <c r="C26" s="22" t="s">
        <v>105</v>
      </c>
      <c r="D26" s="22" t="s">
        <v>106</v>
      </c>
      <c r="E26" s="168">
        <v>46083</v>
      </c>
      <c r="G26" s="130" t="str">
        <f t="shared" si="0"/>
        <v>Keytruda</v>
      </c>
      <c r="H26" s="138">
        <v>0</v>
      </c>
      <c r="I26" s="22" t="s">
        <v>153</v>
      </c>
      <c r="J26" s="710">
        <f t="shared" si="1"/>
        <v>43101</v>
      </c>
      <c r="K26" s="713" cm="1">
        <f t="array" ref="K26">TRANSPOSE(_xlfn._xlws.SORT(_xlfn.UNIQUE(_xlfn._xlws.FILTER($E$6:$E$166,$D$6:$D$166=I26))))</f>
        <v>43101</v>
      </c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68"/>
      <c r="AA26" s="4"/>
      <c r="AI26" s="186"/>
      <c r="AJ26" s="788"/>
      <c r="AK26" s="796"/>
      <c r="AL26" s="796"/>
      <c r="AM26" s="796"/>
      <c r="AN26" s="178"/>
      <c r="AO26" s="744"/>
    </row>
    <row r="27" spans="2:41" x14ac:dyDescent="0.35">
      <c r="B27" s="130" t="s">
        <v>43</v>
      </c>
      <c r="C27" s="22" t="s">
        <v>107</v>
      </c>
      <c r="D27" s="22" t="s">
        <v>108</v>
      </c>
      <c r="E27" s="168">
        <v>44256</v>
      </c>
      <c r="G27" s="130" t="str">
        <f t="shared" si="0"/>
        <v>Keytruda</v>
      </c>
      <c r="H27" s="138">
        <v>0</v>
      </c>
      <c r="I27" s="22" t="s">
        <v>156</v>
      </c>
      <c r="J27" s="710">
        <f t="shared" si="1"/>
        <v>45871</v>
      </c>
      <c r="K27" s="713" cm="1">
        <f t="array" ref="K27">TRANSPOSE(_xlfn._xlws.SORT(_xlfn.UNIQUE(_xlfn._xlws.FILTER($E$6:$E$166,$D$6:$D$166=I27))))</f>
        <v>45871</v>
      </c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68"/>
      <c r="AA27" s="4"/>
      <c r="AI27" s="186"/>
      <c r="AJ27" s="788"/>
      <c r="AK27" s="796"/>
      <c r="AL27" s="796"/>
      <c r="AM27" s="796"/>
      <c r="AN27" s="178"/>
      <c r="AO27" s="744"/>
    </row>
    <row r="28" spans="2:41" x14ac:dyDescent="0.35">
      <c r="B28" s="130" t="s">
        <v>43</v>
      </c>
      <c r="C28" s="22" t="s">
        <v>107</v>
      </c>
      <c r="D28" s="22" t="s">
        <v>108</v>
      </c>
      <c r="E28" s="168">
        <v>44256</v>
      </c>
      <c r="G28" s="130" t="str">
        <f t="shared" si="0"/>
        <v>Keytruda</v>
      </c>
      <c r="H28" s="138">
        <v>1</v>
      </c>
      <c r="I28" s="211" t="s">
        <v>163</v>
      </c>
      <c r="J28" s="710">
        <f>K28</f>
        <v>43101</v>
      </c>
      <c r="K28" s="713" cm="1">
        <f t="array" ref="K28:L28">TRANSPOSE(_xlfn._xlws.SORT(_xlfn.UNIQUE(_xlfn._xlws.FILTER($E$6:$E$166,$D$6:$D$166=I28))))</f>
        <v>43101</v>
      </c>
      <c r="L28" s="126">
        <v>43221</v>
      </c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68"/>
      <c r="AA28" s="4"/>
      <c r="AI28" s="186"/>
      <c r="AJ28" s="788"/>
      <c r="AK28" s="796"/>
      <c r="AL28" s="796"/>
      <c r="AM28" s="796"/>
      <c r="AN28" s="178"/>
      <c r="AO28" s="744"/>
    </row>
    <row r="29" spans="2:41" x14ac:dyDescent="0.35">
      <c r="B29" s="130" t="s">
        <v>43</v>
      </c>
      <c r="C29" s="22" t="s">
        <v>109</v>
      </c>
      <c r="D29" s="22" t="s">
        <v>110</v>
      </c>
      <c r="E29" s="168">
        <v>43678</v>
      </c>
      <c r="G29" s="130" t="str">
        <f t="shared" si="0"/>
        <v>Keytruda</v>
      </c>
      <c r="H29" s="138">
        <v>0</v>
      </c>
      <c r="I29" s="22" t="s">
        <v>168</v>
      </c>
      <c r="J29" s="710">
        <f t="shared" si="1"/>
        <v>45963</v>
      </c>
      <c r="K29" s="713" cm="1">
        <f t="array" ref="K29">TRANSPOSE(_xlfn._xlws.SORT(_xlfn.UNIQUE(_xlfn._xlws.FILTER($E$6:$E$166,$D$6:$D$166=I29))))</f>
        <v>45963</v>
      </c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68"/>
      <c r="AA29" s="4"/>
      <c r="AI29" s="186"/>
      <c r="AJ29" s="178"/>
      <c r="AK29" s="796"/>
      <c r="AL29" s="796"/>
      <c r="AM29" s="796"/>
      <c r="AN29" s="178"/>
      <c r="AO29" s="744"/>
    </row>
    <row r="30" spans="2:41" ht="15" thickBot="1" x14ac:dyDescent="0.4">
      <c r="B30" s="130" t="s">
        <v>43</v>
      </c>
      <c r="C30" s="22" t="s">
        <v>113</v>
      </c>
      <c r="D30" s="22" t="s">
        <v>110</v>
      </c>
      <c r="E30" s="168">
        <v>44256</v>
      </c>
      <c r="G30" s="130" t="str">
        <f t="shared" si="0"/>
        <v>Keytruda</v>
      </c>
      <c r="H30" s="138">
        <v>0</v>
      </c>
      <c r="I30" s="22" t="s">
        <v>173</v>
      </c>
      <c r="J30" s="710">
        <f t="shared" si="1"/>
        <v>43497</v>
      </c>
      <c r="K30" s="713" cm="1">
        <f t="array" ref="K30">TRANSPOSE(_xlfn._xlws.SORT(_xlfn.UNIQUE(_xlfn._xlws.FILTER($E$6:$E$166,$D$6:$D$166=I30))))</f>
        <v>43497</v>
      </c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68"/>
      <c r="AA30" s="4"/>
      <c r="AI30" s="187"/>
      <c r="AJ30" s="188"/>
      <c r="AK30" s="797"/>
      <c r="AL30" s="797"/>
      <c r="AM30" s="797"/>
      <c r="AN30" s="188"/>
      <c r="AO30" s="745"/>
    </row>
    <row r="31" spans="2:41" x14ac:dyDescent="0.35">
      <c r="B31" s="130" t="s">
        <v>468</v>
      </c>
      <c r="C31" s="22" t="s">
        <v>117</v>
      </c>
      <c r="D31" s="22" t="s">
        <v>118</v>
      </c>
      <c r="E31" s="168">
        <v>45628</v>
      </c>
      <c r="G31" s="130" t="str">
        <f t="shared" si="0"/>
        <v>Keytruda</v>
      </c>
      <c r="H31" s="138">
        <v>0</v>
      </c>
      <c r="I31" s="22" t="s">
        <v>177</v>
      </c>
      <c r="J31" s="710">
        <f t="shared" si="1"/>
        <v>44531</v>
      </c>
      <c r="K31" s="713" cm="1">
        <f t="array" ref="K31">TRANSPOSE(_xlfn._xlws.SORT(_xlfn.UNIQUE(_xlfn._xlws.FILTER($E$6:$E$166,$D$6:$D$166=I31))))</f>
        <v>44531</v>
      </c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68"/>
      <c r="AA31" s="4"/>
    </row>
    <row r="32" spans="2:41" x14ac:dyDescent="0.35">
      <c r="B32" s="130" t="s">
        <v>43</v>
      </c>
      <c r="C32" s="22" t="s">
        <v>121</v>
      </c>
      <c r="D32" s="22" t="s">
        <v>122</v>
      </c>
      <c r="E32" s="168">
        <v>45293</v>
      </c>
      <c r="G32" s="130" t="str">
        <f t="shared" si="0"/>
        <v>Keytruda</v>
      </c>
      <c r="H32" s="138">
        <v>0</v>
      </c>
      <c r="I32" s="22" t="s">
        <v>181</v>
      </c>
      <c r="J32" s="710">
        <f t="shared" si="1"/>
        <v>42005</v>
      </c>
      <c r="K32" s="713" cm="1">
        <f t="array" ref="K32">TRANSPOSE(_xlfn._xlws.SORT(_xlfn.UNIQUE(_xlfn._xlws.FILTER($E$6:$E$166,$D$6:$D$166=I32))))</f>
        <v>42005</v>
      </c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68"/>
      <c r="AA32" s="4"/>
      <c r="AB32" s="4"/>
    </row>
    <row r="33" spans="2:28" x14ac:dyDescent="0.35">
      <c r="B33" s="130" t="s">
        <v>43</v>
      </c>
      <c r="C33" s="22" t="s">
        <v>121</v>
      </c>
      <c r="D33" s="22" t="s">
        <v>124</v>
      </c>
      <c r="E33" s="168">
        <v>43800</v>
      </c>
      <c r="G33" s="130" t="str">
        <f t="shared" si="0"/>
        <v>Keytruda</v>
      </c>
      <c r="H33" s="138">
        <v>0</v>
      </c>
      <c r="I33" s="22" t="s">
        <v>184</v>
      </c>
      <c r="J33" s="710">
        <f t="shared" si="1"/>
        <v>42005</v>
      </c>
      <c r="K33" s="713" cm="1">
        <f t="array" ref="K33">TRANSPOSE(_xlfn._xlws.SORT(_xlfn.UNIQUE(_xlfn._xlws.FILTER($E$6:$E$166,$D$6:$D$166=I33))))</f>
        <v>42005</v>
      </c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68"/>
      <c r="AA33" s="4"/>
      <c r="AB33" s="4"/>
    </row>
    <row r="34" spans="2:28" x14ac:dyDescent="0.35">
      <c r="B34" s="130" t="s">
        <v>43</v>
      </c>
      <c r="C34" s="22" t="s">
        <v>125</v>
      </c>
      <c r="D34" s="22" t="s">
        <v>126</v>
      </c>
      <c r="E34" s="168">
        <v>43800</v>
      </c>
      <c r="G34" s="130" t="str">
        <f t="shared" si="0"/>
        <v>Keytruda</v>
      </c>
      <c r="H34" s="138">
        <v>0</v>
      </c>
      <c r="I34" s="22" t="s">
        <v>188</v>
      </c>
      <c r="J34" s="710">
        <f t="shared" si="1"/>
        <v>43101</v>
      </c>
      <c r="K34" s="713" cm="1">
        <f t="array" ref="K34">TRANSPOSE(_xlfn._xlws.SORT(_xlfn.UNIQUE(_xlfn._xlws.FILTER($E$6:$E$166,$D$6:$D$166=I34))))</f>
        <v>43101</v>
      </c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68"/>
      <c r="AA34" s="4"/>
      <c r="AB34" s="4"/>
    </row>
    <row r="35" spans="2:28" x14ac:dyDescent="0.35">
      <c r="B35" s="130" t="s">
        <v>43</v>
      </c>
      <c r="C35" s="22" t="s">
        <v>125</v>
      </c>
      <c r="D35" s="22" t="s">
        <v>126</v>
      </c>
      <c r="E35" s="168">
        <v>43132</v>
      </c>
      <c r="G35" s="130" t="str">
        <f t="shared" si="0"/>
        <v>Keytruda</v>
      </c>
      <c r="H35" s="138">
        <v>0</v>
      </c>
      <c r="I35" s="22" t="s">
        <v>192</v>
      </c>
      <c r="J35" s="710">
        <f t="shared" si="1"/>
        <v>45567</v>
      </c>
      <c r="K35" s="713" cm="1">
        <f t="array" ref="K35">TRANSPOSE(_xlfn._xlws.SORT(_xlfn.UNIQUE(_xlfn._xlws.FILTER($E$6:$E$166,$D$6:$D$166=I35))))</f>
        <v>45567</v>
      </c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68"/>
      <c r="AA35" s="4"/>
      <c r="AB35" s="4"/>
    </row>
    <row r="36" spans="2:28" x14ac:dyDescent="0.35">
      <c r="B36" s="130" t="s">
        <v>468</v>
      </c>
      <c r="C36" s="22" t="s">
        <v>129</v>
      </c>
      <c r="D36" s="22" t="s">
        <v>130</v>
      </c>
      <c r="E36" s="168">
        <v>46114</v>
      </c>
      <c r="G36" s="130" t="str">
        <f t="shared" si="0"/>
        <v>Keytruda</v>
      </c>
      <c r="H36" s="138">
        <v>0</v>
      </c>
      <c r="I36" s="22" t="s">
        <v>197</v>
      </c>
      <c r="J36" s="710">
        <f t="shared" si="1"/>
        <v>45414</v>
      </c>
      <c r="K36" s="713" cm="1">
        <f t="array" ref="K36">TRANSPOSE(_xlfn._xlws.SORT(_xlfn.UNIQUE(_xlfn._xlws.FILTER($E$6:$E$166,$D$6:$D$166=I36))))</f>
        <v>45414</v>
      </c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68"/>
      <c r="AA36" s="4"/>
      <c r="AB36" s="4"/>
    </row>
    <row r="37" spans="2:28" x14ac:dyDescent="0.35">
      <c r="B37" s="130" t="s">
        <v>43</v>
      </c>
      <c r="C37" s="22" t="s">
        <v>132</v>
      </c>
      <c r="D37" s="22" t="s">
        <v>133</v>
      </c>
      <c r="E37" s="168">
        <v>43101</v>
      </c>
      <c r="G37" s="130" t="str">
        <f t="shared" si="0"/>
        <v>Keytruda</v>
      </c>
      <c r="H37" s="138">
        <v>0</v>
      </c>
      <c r="I37" s="22" t="s">
        <v>200</v>
      </c>
      <c r="J37" s="710">
        <f t="shared" si="1"/>
        <v>45018</v>
      </c>
      <c r="K37" s="713" cm="1">
        <f t="array" ref="K37">TRANSPOSE(_xlfn._xlws.SORT(_xlfn.UNIQUE(_xlfn._xlws.FILTER($E$6:$E$166,$D$6:$D$166=I37))))</f>
        <v>45018</v>
      </c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68"/>
      <c r="AA37" s="4"/>
      <c r="AB37" s="4"/>
    </row>
    <row r="38" spans="2:28" x14ac:dyDescent="0.35">
      <c r="B38" s="130" t="s">
        <v>43</v>
      </c>
      <c r="C38" s="22" t="s">
        <v>135</v>
      </c>
      <c r="D38" s="22" t="s">
        <v>136</v>
      </c>
      <c r="E38" s="168">
        <v>45840</v>
      </c>
      <c r="G38" s="130" t="str">
        <f t="shared" si="0"/>
        <v>Keytruda</v>
      </c>
      <c r="H38" s="138">
        <v>0</v>
      </c>
      <c r="I38" s="22" t="s">
        <v>205</v>
      </c>
      <c r="J38" s="710">
        <f t="shared" si="1"/>
        <v>46448</v>
      </c>
      <c r="K38" s="713" cm="1">
        <f t="array" ref="K38">TRANSPOSE(_xlfn._xlws.SORT(_xlfn.UNIQUE(_xlfn._xlws.FILTER($E$6:$E$166,$D$6:$D$166=I38))))</f>
        <v>46448</v>
      </c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68"/>
      <c r="AA38" s="4"/>
      <c r="AB38" s="4"/>
    </row>
    <row r="39" spans="2:28" x14ac:dyDescent="0.35">
      <c r="B39" s="130" t="s">
        <v>138</v>
      </c>
      <c r="C39" s="22" t="s">
        <v>139</v>
      </c>
      <c r="D39" s="22" t="s">
        <v>140</v>
      </c>
      <c r="E39" s="168">
        <v>43466</v>
      </c>
      <c r="G39" s="130" t="str">
        <f t="shared" si="0"/>
        <v>Keytruda</v>
      </c>
      <c r="H39" s="138">
        <v>0</v>
      </c>
      <c r="I39" s="22" t="s">
        <v>348</v>
      </c>
      <c r="J39" s="710">
        <f t="shared" si="1"/>
        <v>45672</v>
      </c>
      <c r="K39" s="713" cm="1">
        <f t="array" ref="K39">TRANSPOSE(_xlfn._xlws.SORT(_xlfn.UNIQUE(_xlfn._xlws.FILTER($E$6:$E$166,$D$6:$D$166=I39))))</f>
        <v>45672</v>
      </c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68"/>
      <c r="AA39" s="4"/>
      <c r="AB39" s="4"/>
    </row>
    <row r="40" spans="2:28" x14ac:dyDescent="0.35">
      <c r="B40" s="130" t="s">
        <v>468</v>
      </c>
      <c r="C40" s="22" t="s">
        <v>142</v>
      </c>
      <c r="D40" s="22" t="s">
        <v>143</v>
      </c>
      <c r="E40" s="168">
        <v>45383</v>
      </c>
      <c r="G40" s="130" t="str">
        <f t="shared" si="0"/>
        <v>Keytruda</v>
      </c>
      <c r="H40" s="138">
        <v>0</v>
      </c>
      <c r="I40" s="22" t="s">
        <v>349</v>
      </c>
      <c r="J40" s="710">
        <f t="shared" si="1"/>
        <v>45871</v>
      </c>
      <c r="K40" s="713" cm="1">
        <f t="array" ref="K40">TRANSPOSE(_xlfn._xlws.SORT(_xlfn.UNIQUE(_xlfn._xlws.FILTER($E$6:$E$166,$D$6:$D$166=I40))))</f>
        <v>45871</v>
      </c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68"/>
      <c r="AA40" s="4"/>
      <c r="AB40" s="4"/>
    </row>
    <row r="41" spans="2:28" x14ac:dyDescent="0.35">
      <c r="B41" s="130" t="s">
        <v>468</v>
      </c>
      <c r="C41" s="22" t="s">
        <v>145</v>
      </c>
      <c r="D41" s="22" t="s">
        <v>146</v>
      </c>
      <c r="E41" s="168">
        <v>45902</v>
      </c>
      <c r="G41" s="130" t="str">
        <f t="shared" si="0"/>
        <v>Keytruda</v>
      </c>
      <c r="H41" s="138">
        <v>0</v>
      </c>
      <c r="I41" s="22" t="s">
        <v>350</v>
      </c>
      <c r="J41" s="710">
        <f t="shared" si="1"/>
        <v>45963</v>
      </c>
      <c r="K41" s="713" cm="1">
        <f t="array" ref="K41">TRANSPOSE(_xlfn._xlws.SORT(_xlfn.UNIQUE(_xlfn._xlws.FILTER($E$6:$E$166,$D$6:$D$166=I41))))</f>
        <v>45963</v>
      </c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68"/>
      <c r="AA41" s="4"/>
      <c r="AB41" s="4"/>
    </row>
    <row r="42" spans="2:28" x14ac:dyDescent="0.35">
      <c r="B42" s="130" t="s">
        <v>43</v>
      </c>
      <c r="C42" s="22" t="s">
        <v>148</v>
      </c>
      <c r="D42" s="22" t="s">
        <v>149</v>
      </c>
      <c r="E42" s="168">
        <v>43618</v>
      </c>
      <c r="G42" s="130" t="str">
        <f t="shared" si="0"/>
        <v>Keytruda</v>
      </c>
      <c r="H42" s="138">
        <v>0</v>
      </c>
      <c r="I42" s="22" t="s">
        <v>216</v>
      </c>
      <c r="J42" s="710">
        <f t="shared" si="1"/>
        <v>42878</v>
      </c>
      <c r="K42" s="713" cm="1">
        <f t="array" ref="K42">TRANSPOSE(_xlfn._xlws.SORT(_xlfn.UNIQUE(_xlfn._xlws.FILTER($E$6:$E$166,$D$6:$D$166=I42))))</f>
        <v>42878</v>
      </c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68"/>
      <c r="AA42" s="4"/>
      <c r="AB42" s="4"/>
    </row>
    <row r="43" spans="2:28" x14ac:dyDescent="0.35">
      <c r="B43" s="130" t="s">
        <v>43</v>
      </c>
      <c r="C43" s="22" t="s">
        <v>151</v>
      </c>
      <c r="D43" s="22" t="s">
        <v>149</v>
      </c>
      <c r="E43" s="168">
        <v>43101</v>
      </c>
      <c r="G43" s="130" t="str">
        <f t="shared" si="0"/>
        <v>Keytruda</v>
      </c>
      <c r="H43" s="138">
        <v>0</v>
      </c>
      <c r="I43" s="22" t="s">
        <v>222</v>
      </c>
      <c r="J43" s="710">
        <f t="shared" si="1"/>
        <v>45871</v>
      </c>
      <c r="K43" s="713" cm="1">
        <f t="array" ref="K43">TRANSPOSE(_xlfn._xlws.SORT(_xlfn.UNIQUE(_xlfn._xlws.FILTER($E$6:$E$166,$D$6:$D$166=I43))))</f>
        <v>45871</v>
      </c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68"/>
      <c r="AA43" s="4"/>
      <c r="AB43" s="4"/>
    </row>
    <row r="44" spans="2:28" x14ac:dyDescent="0.35">
      <c r="B44" s="130" t="s">
        <v>43</v>
      </c>
      <c r="C44" s="22" t="s">
        <v>152</v>
      </c>
      <c r="D44" s="22" t="s">
        <v>153</v>
      </c>
      <c r="E44" s="168">
        <v>43101</v>
      </c>
      <c r="G44" s="130" t="str">
        <f t="shared" si="0"/>
        <v>Keytruda</v>
      </c>
      <c r="H44" s="138">
        <v>0</v>
      </c>
      <c r="I44" s="22" t="s">
        <v>225</v>
      </c>
      <c r="J44" s="710">
        <f t="shared" si="1"/>
        <v>45810</v>
      </c>
      <c r="K44" s="713" cm="1">
        <f t="array" ref="K44">TRANSPOSE(_xlfn._xlws.SORT(_xlfn.UNIQUE(_xlfn._xlws.FILTER($E$6:$E$166,$D$6:$D$166=I44))))</f>
        <v>45810</v>
      </c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68"/>
      <c r="AA44" s="4"/>
      <c r="AB44" s="4"/>
    </row>
    <row r="45" spans="2:28" x14ac:dyDescent="0.35">
      <c r="B45" s="130" t="s">
        <v>43</v>
      </c>
      <c r="C45" s="22" t="s">
        <v>155</v>
      </c>
      <c r="D45" s="22" t="s">
        <v>156</v>
      </c>
      <c r="E45" s="168">
        <v>45871</v>
      </c>
      <c r="G45" s="130" t="str">
        <f t="shared" si="0"/>
        <v>Keytruda</v>
      </c>
      <c r="H45" s="138">
        <v>0</v>
      </c>
      <c r="I45" s="22" t="s">
        <v>227</v>
      </c>
      <c r="J45" s="710">
        <f t="shared" si="1"/>
        <v>44228</v>
      </c>
      <c r="K45" s="713" cm="1">
        <f t="array" ref="K45">TRANSPOSE(_xlfn._xlws.SORT(_xlfn.UNIQUE(_xlfn._xlws.FILTER($E$6:$E$166,$D$6:$D$166=I45))))</f>
        <v>44228</v>
      </c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68"/>
      <c r="AA45" s="4"/>
      <c r="AB45" s="4"/>
    </row>
    <row r="46" spans="2:28" x14ac:dyDescent="0.35">
      <c r="B46" s="130" t="s">
        <v>43</v>
      </c>
      <c r="C46" s="22" t="s">
        <v>158</v>
      </c>
      <c r="D46" s="22" t="s">
        <v>156</v>
      </c>
      <c r="E46" s="168">
        <v>45871</v>
      </c>
      <c r="G46" s="130" t="str">
        <f t="shared" si="0"/>
        <v>Keytruda-Lynparza</v>
      </c>
      <c r="H46" s="138">
        <v>1</v>
      </c>
      <c r="I46" s="211" t="s">
        <v>233</v>
      </c>
      <c r="J46" s="710">
        <f>K46</f>
        <v>45475</v>
      </c>
      <c r="K46" s="713" cm="1">
        <f t="array" ref="K46:L46">TRANSPOSE(_xlfn._xlws.SORT(_xlfn.UNIQUE(_xlfn._xlws.FILTER($E$6:$E$166,$D$6:$D$166=I46))))</f>
        <v>45475</v>
      </c>
      <c r="L46" s="126">
        <v>45537</v>
      </c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68"/>
      <c r="AA46" s="4"/>
      <c r="AB46" s="4"/>
    </row>
    <row r="47" spans="2:28" x14ac:dyDescent="0.35">
      <c r="B47" s="130" t="s">
        <v>467</v>
      </c>
      <c r="C47" s="22" t="s">
        <v>160</v>
      </c>
      <c r="D47" s="22" t="s">
        <v>52</v>
      </c>
      <c r="E47" s="168">
        <v>46420</v>
      </c>
      <c r="G47" s="130" t="str">
        <f t="shared" si="0"/>
        <v>Keytruda</v>
      </c>
      <c r="H47" s="138">
        <v>1</v>
      </c>
      <c r="I47" s="211" t="s">
        <v>239</v>
      </c>
      <c r="J47" s="710">
        <f>L47</f>
        <v>46540</v>
      </c>
      <c r="K47" s="713" cm="1">
        <f t="array" ref="K47:L47">TRANSPOSE(_xlfn._xlws.SORT(_xlfn.UNIQUE(_xlfn._xlws.FILTER($E$6:$E$166,$D$6:$D$166=I47))))</f>
        <v>46175</v>
      </c>
      <c r="L47" s="126">
        <v>46540</v>
      </c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68"/>
      <c r="AA47" s="4"/>
      <c r="AB47" s="4"/>
    </row>
    <row r="48" spans="2:28" x14ac:dyDescent="0.35">
      <c r="B48" s="130" t="s">
        <v>467</v>
      </c>
      <c r="C48" s="22" t="s">
        <v>161</v>
      </c>
      <c r="D48" s="22" t="s">
        <v>52</v>
      </c>
      <c r="E48" s="168">
        <v>46423</v>
      </c>
      <c r="G48" s="130" t="str">
        <f t="shared" si="0"/>
        <v>Keytruda</v>
      </c>
      <c r="H48" s="138">
        <v>0</v>
      </c>
      <c r="I48" s="22" t="s">
        <v>244</v>
      </c>
      <c r="J48" s="710">
        <f t="shared" si="1"/>
        <v>45201</v>
      </c>
      <c r="K48" s="713" cm="1">
        <f t="array" ref="K48">TRANSPOSE(_xlfn._xlws.SORT(_xlfn.UNIQUE(_xlfn._xlws.FILTER($E$6:$E$166,$D$6:$D$166=I48))))</f>
        <v>45201</v>
      </c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68"/>
      <c r="AA48" s="4"/>
      <c r="AB48" s="4"/>
    </row>
    <row r="49" spans="2:28" x14ac:dyDescent="0.35">
      <c r="B49" s="130" t="s">
        <v>43</v>
      </c>
      <c r="C49" s="22" t="s">
        <v>162</v>
      </c>
      <c r="D49" s="22" t="s">
        <v>163</v>
      </c>
      <c r="E49" s="168">
        <v>43101</v>
      </c>
      <c r="G49" s="130" t="str">
        <f t="shared" si="0"/>
        <v>Keytruda</v>
      </c>
      <c r="H49" s="138">
        <v>0</v>
      </c>
      <c r="I49" s="22" t="s">
        <v>250</v>
      </c>
      <c r="J49" s="710">
        <f t="shared" si="1"/>
        <v>45993</v>
      </c>
      <c r="K49" s="713" cm="1">
        <f t="array" ref="K49">TRANSPOSE(_xlfn._xlws.SORT(_xlfn.UNIQUE(_xlfn._xlws.FILTER($E$6:$E$166,$D$6:$D$166=I49))))</f>
        <v>45993</v>
      </c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68"/>
      <c r="AA49" s="4"/>
      <c r="AB49" s="4"/>
    </row>
    <row r="50" spans="2:28" x14ac:dyDescent="0.35">
      <c r="B50" s="130" t="s">
        <v>43</v>
      </c>
      <c r="C50" s="22" t="s">
        <v>167</v>
      </c>
      <c r="D50" s="22" t="s">
        <v>168</v>
      </c>
      <c r="E50" s="168">
        <v>45963</v>
      </c>
      <c r="G50" s="130" t="str">
        <f t="shared" si="0"/>
        <v>Keytruda</v>
      </c>
      <c r="H50" s="138">
        <v>1</v>
      </c>
      <c r="I50" s="211" t="s">
        <v>258</v>
      </c>
      <c r="J50" s="710">
        <f>K50</f>
        <v>43101</v>
      </c>
      <c r="K50" s="713" cm="1">
        <f t="array" ref="K50:N50">TRANSPOSE(_xlfn._xlws.SORT(_xlfn.UNIQUE(_xlfn._xlws.FILTER($E$6:$E$166,$D$6:$D$166=I50))))</f>
        <v>43101</v>
      </c>
      <c r="L50" s="126">
        <v>43132</v>
      </c>
      <c r="M50" s="126">
        <v>43160</v>
      </c>
      <c r="N50" s="126">
        <v>43191</v>
      </c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68"/>
      <c r="AA50" s="4"/>
      <c r="AB50" s="4"/>
    </row>
    <row r="51" spans="2:28" x14ac:dyDescent="0.35">
      <c r="B51" s="130" t="s">
        <v>43</v>
      </c>
      <c r="C51" s="22" t="s">
        <v>169</v>
      </c>
      <c r="D51" s="22" t="s">
        <v>168</v>
      </c>
      <c r="E51" s="168">
        <v>45963</v>
      </c>
      <c r="G51" s="130" t="str">
        <f t="shared" si="0"/>
        <v>Keytruda</v>
      </c>
      <c r="H51" s="138">
        <v>0</v>
      </c>
      <c r="I51" s="22" t="s">
        <v>269</v>
      </c>
      <c r="J51" s="710">
        <f t="shared" si="1"/>
        <v>43101</v>
      </c>
      <c r="K51" s="713" cm="1">
        <f t="array" ref="K51">TRANSPOSE(_xlfn._xlws.SORT(_xlfn.UNIQUE(_xlfn._xlws.FILTER($E$6:$E$166,$D$6:$D$166=I51))))</f>
        <v>43101</v>
      </c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68"/>
      <c r="AA51" s="4"/>
      <c r="AB51" s="4"/>
    </row>
    <row r="52" spans="2:28" x14ac:dyDescent="0.35">
      <c r="B52" s="130" t="s">
        <v>43</v>
      </c>
      <c r="C52" s="22" t="s">
        <v>170</v>
      </c>
      <c r="D52" s="22" t="s">
        <v>168</v>
      </c>
      <c r="E52" s="168">
        <v>45963</v>
      </c>
      <c r="G52" s="130" t="str">
        <f t="shared" si="0"/>
        <v>Keytruda</v>
      </c>
      <c r="H52" s="138">
        <v>0</v>
      </c>
      <c r="I52" s="22" t="s">
        <v>272</v>
      </c>
      <c r="J52" s="710">
        <f t="shared" si="1"/>
        <v>44950</v>
      </c>
      <c r="K52" s="713" cm="1">
        <f t="array" ref="K52">TRANSPOSE(_xlfn._xlws.SORT(_xlfn.UNIQUE(_xlfn._xlws.FILTER($E$6:$E$166,$D$6:$D$166=I52))))</f>
        <v>44950</v>
      </c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68"/>
      <c r="AA52" s="4"/>
      <c r="AB52" s="4"/>
    </row>
    <row r="53" spans="2:28" x14ac:dyDescent="0.35">
      <c r="B53" s="130" t="s">
        <v>43</v>
      </c>
      <c r="C53" s="22" t="s">
        <v>172</v>
      </c>
      <c r="D53" s="22" t="s">
        <v>173</v>
      </c>
      <c r="E53" s="168">
        <v>43497</v>
      </c>
      <c r="G53" s="130" t="str">
        <f t="shared" si="0"/>
        <v>Keytruda-Lynparza</v>
      </c>
      <c r="H53" s="138">
        <v>1</v>
      </c>
      <c r="I53" s="211" t="s">
        <v>278</v>
      </c>
      <c r="J53" s="710">
        <f>K53</f>
        <v>45658</v>
      </c>
      <c r="K53" s="713" cm="1">
        <f t="array" ref="K53:Q53">TRANSPOSE(_xlfn._xlws.SORT(_xlfn.UNIQUE(_xlfn._xlws.FILTER($E$6:$E$166,$D$6:$D$166=I53))))</f>
        <v>45658</v>
      </c>
      <c r="L53" s="126">
        <v>45659</v>
      </c>
      <c r="M53" s="126">
        <v>45660</v>
      </c>
      <c r="N53" s="126">
        <v>45661</v>
      </c>
      <c r="O53" s="126">
        <v>45662</v>
      </c>
      <c r="P53" s="126">
        <v>45663</v>
      </c>
      <c r="Q53" s="126">
        <v>45664</v>
      </c>
      <c r="R53" s="126"/>
      <c r="S53" s="126"/>
      <c r="T53" s="126"/>
      <c r="U53" s="126"/>
      <c r="V53" s="126"/>
      <c r="W53" s="126"/>
      <c r="X53" s="126"/>
      <c r="Y53" s="126"/>
      <c r="Z53" s="168"/>
      <c r="AA53" s="4"/>
      <c r="AB53" s="4"/>
    </row>
    <row r="54" spans="2:28" x14ac:dyDescent="0.35">
      <c r="B54" s="130" t="s">
        <v>43</v>
      </c>
      <c r="C54" s="22" t="s">
        <v>176</v>
      </c>
      <c r="D54" s="22" t="s">
        <v>177</v>
      </c>
      <c r="E54" s="168">
        <v>44531</v>
      </c>
      <c r="G54" s="130" t="str">
        <f t="shared" si="0"/>
        <v>Keytruda</v>
      </c>
      <c r="H54" s="138">
        <v>0</v>
      </c>
      <c r="I54" s="22" t="s">
        <v>351</v>
      </c>
      <c r="J54" s="710">
        <f t="shared" si="1"/>
        <v>44409</v>
      </c>
      <c r="K54" s="713" cm="1">
        <f t="array" ref="K54">TRANSPOSE(_xlfn._xlws.SORT(_xlfn.UNIQUE(_xlfn._xlws.FILTER($E$6:$E$166,$D$6:$D$166=I54))))</f>
        <v>44409</v>
      </c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68"/>
      <c r="AA54" s="4"/>
      <c r="AB54" s="4"/>
    </row>
    <row r="55" spans="2:28" x14ac:dyDescent="0.35">
      <c r="B55" s="130" t="s">
        <v>43</v>
      </c>
      <c r="C55" s="22" t="s">
        <v>180</v>
      </c>
      <c r="D55" s="22" t="s">
        <v>181</v>
      </c>
      <c r="E55" s="168">
        <v>42005</v>
      </c>
      <c r="G55" s="130" t="str">
        <f t="shared" si="0"/>
        <v>Keytruda</v>
      </c>
      <c r="H55" s="138">
        <v>1</v>
      </c>
      <c r="I55" s="211" t="s">
        <v>313</v>
      </c>
      <c r="J55" s="710">
        <f>M55</f>
        <v>46273</v>
      </c>
      <c r="K55" s="713" cm="1">
        <f t="array" ref="K55:M55">TRANSPOSE(_xlfn._xlws.SORT(_xlfn.UNIQUE(_xlfn._xlws.FILTER($E$6:$E$166,$D$6:$D$166=I55))))</f>
        <v>46267</v>
      </c>
      <c r="L55" s="126">
        <v>46270</v>
      </c>
      <c r="M55" s="126">
        <v>46273</v>
      </c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68"/>
      <c r="AA55" s="4"/>
      <c r="AB55" s="4"/>
    </row>
    <row r="56" spans="2:28" x14ac:dyDescent="0.35">
      <c r="B56" s="130" t="s">
        <v>43</v>
      </c>
      <c r="C56" s="22" t="s">
        <v>183</v>
      </c>
      <c r="D56" s="22" t="s">
        <v>184</v>
      </c>
      <c r="E56" s="168">
        <v>42005</v>
      </c>
      <c r="G56" s="130" t="str">
        <f t="shared" si="0"/>
        <v>Keytruda</v>
      </c>
      <c r="H56" s="138">
        <v>0</v>
      </c>
      <c r="I56" s="22" t="s">
        <v>323</v>
      </c>
      <c r="J56" s="710">
        <f t="shared" si="1"/>
        <v>45810</v>
      </c>
      <c r="K56" s="713" cm="1">
        <f t="array" ref="K56">TRANSPOSE(_xlfn._xlws.SORT(_xlfn.UNIQUE(_xlfn._xlws.FILTER($E$6:$E$166,$D$6:$D$166=I56))))</f>
        <v>45810</v>
      </c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68"/>
      <c r="AA56" s="4"/>
      <c r="AB56" s="4"/>
    </row>
    <row r="57" spans="2:28" x14ac:dyDescent="0.35">
      <c r="B57" s="130" t="s">
        <v>43</v>
      </c>
      <c r="C57" s="22" t="s">
        <v>187</v>
      </c>
      <c r="D57" s="22" t="s">
        <v>188</v>
      </c>
      <c r="E57" s="168">
        <v>43101</v>
      </c>
      <c r="G57" s="130" t="str">
        <f t="shared" si="0"/>
        <v>Keytruda</v>
      </c>
      <c r="H57" s="138">
        <v>0</v>
      </c>
      <c r="I57" s="22" t="s">
        <v>325</v>
      </c>
      <c r="J57" s="710">
        <f t="shared" si="1"/>
        <v>43115</v>
      </c>
      <c r="K57" s="713" cm="1">
        <f t="array" ref="K57">TRANSPOSE(_xlfn._xlws.SORT(_xlfn.UNIQUE(_xlfn._xlws.FILTER($E$6:$E$166,$D$6:$D$166=I57))))</f>
        <v>43115</v>
      </c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68"/>
      <c r="AA57" s="4"/>
      <c r="AB57" s="4"/>
    </row>
    <row r="58" spans="2:28" x14ac:dyDescent="0.35">
      <c r="B58" s="130" t="s">
        <v>43</v>
      </c>
      <c r="C58" s="22" t="s">
        <v>191</v>
      </c>
      <c r="D58" s="22" t="s">
        <v>192</v>
      </c>
      <c r="E58" s="168">
        <v>45567</v>
      </c>
      <c r="G58" s="130" t="str">
        <f t="shared" si="0"/>
        <v>Keytruda</v>
      </c>
      <c r="H58" s="138">
        <v>1</v>
      </c>
      <c r="I58" s="211" t="s">
        <v>329</v>
      </c>
      <c r="J58" s="710">
        <f>L58</f>
        <v>44378</v>
      </c>
      <c r="K58" s="713" cm="1">
        <f t="array" ref="K58:M58">TRANSPOSE(_xlfn._xlws.SORT(_xlfn.UNIQUE(_xlfn._xlws.FILTER($E$6:$E$166,$D$6:$D$166=I58))))</f>
        <v>42736</v>
      </c>
      <c r="L58" s="126">
        <v>44378</v>
      </c>
      <c r="M58" s="126">
        <v>45810</v>
      </c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68"/>
      <c r="AA58" s="4"/>
      <c r="AB58" s="4"/>
    </row>
    <row r="59" spans="2:28" ht="15" thickBot="1" x14ac:dyDescent="0.4">
      <c r="B59" s="130" t="s">
        <v>43</v>
      </c>
      <c r="C59" s="22" t="s">
        <v>196</v>
      </c>
      <c r="D59" s="22" t="s">
        <v>197</v>
      </c>
      <c r="E59" s="168">
        <v>45414</v>
      </c>
      <c r="G59" s="131" t="str">
        <f t="shared" si="0"/>
        <v>Keytruda</v>
      </c>
      <c r="H59" s="139">
        <v>0</v>
      </c>
      <c r="I59" s="132" t="s">
        <v>336</v>
      </c>
      <c r="J59" s="711">
        <f t="shared" si="1"/>
        <v>43101</v>
      </c>
      <c r="K59" s="714" cm="1">
        <f t="array" ref="K59">TRANSPOSE(_xlfn._xlws.SORT(_xlfn.UNIQUE(_xlfn._xlws.FILTER($E$6:$E$166,$D$6:$D$166=I59))))</f>
        <v>43101</v>
      </c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69"/>
      <c r="AA59" s="4"/>
      <c r="AB59" s="4"/>
    </row>
    <row r="60" spans="2:28" x14ac:dyDescent="0.35">
      <c r="B60" s="130" t="s">
        <v>43</v>
      </c>
      <c r="C60" s="22" t="s">
        <v>199</v>
      </c>
      <c r="D60" s="22" t="s">
        <v>200</v>
      </c>
      <c r="E60" s="168">
        <v>45018</v>
      </c>
      <c r="I60" s="209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</row>
    <row r="61" spans="2:28" x14ac:dyDescent="0.35">
      <c r="B61" s="130" t="s">
        <v>43</v>
      </c>
      <c r="C61" s="22" t="s">
        <v>204</v>
      </c>
      <c r="D61" s="22" t="s">
        <v>205</v>
      </c>
      <c r="E61" s="168">
        <v>46448</v>
      </c>
      <c r="I61" s="209"/>
      <c r="J61" s="209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</row>
    <row r="62" spans="2:28" x14ac:dyDescent="0.35">
      <c r="B62" s="130" t="s">
        <v>43</v>
      </c>
      <c r="C62" s="22" t="s">
        <v>206</v>
      </c>
      <c r="D62" s="22" t="s">
        <v>348</v>
      </c>
      <c r="E62" s="168">
        <v>45672</v>
      </c>
      <c r="I62" s="209"/>
      <c r="J62" s="209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</row>
    <row r="63" spans="2:28" x14ac:dyDescent="0.35">
      <c r="B63" s="130" t="s">
        <v>43</v>
      </c>
      <c r="C63" s="22" t="s">
        <v>208</v>
      </c>
      <c r="D63" s="22" t="s">
        <v>348</v>
      </c>
      <c r="E63" s="168">
        <v>45672</v>
      </c>
      <c r="I63" s="209"/>
      <c r="J63" s="209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</row>
    <row r="64" spans="2:28" x14ac:dyDescent="0.35">
      <c r="B64" s="130" t="s">
        <v>43</v>
      </c>
      <c r="C64" s="22" t="s">
        <v>210</v>
      </c>
      <c r="D64" s="22" t="s">
        <v>349</v>
      </c>
      <c r="E64" s="168">
        <v>45871</v>
      </c>
      <c r="I64" s="209"/>
      <c r="J64" s="209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</row>
    <row r="65" spans="2:26" x14ac:dyDescent="0.35">
      <c r="B65" s="130" t="s">
        <v>43</v>
      </c>
      <c r="C65" s="22" t="s">
        <v>211</v>
      </c>
      <c r="D65" s="22" t="s">
        <v>349</v>
      </c>
      <c r="E65" s="168">
        <v>45871</v>
      </c>
      <c r="I65" s="209"/>
      <c r="J65" s="209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</row>
    <row r="66" spans="2:26" x14ac:dyDescent="0.35">
      <c r="B66" s="130" t="s">
        <v>43</v>
      </c>
      <c r="C66" s="22" t="s">
        <v>212</v>
      </c>
      <c r="D66" s="22" t="s">
        <v>350</v>
      </c>
      <c r="E66" s="168">
        <v>45963</v>
      </c>
      <c r="I66" s="209"/>
      <c r="J66" s="209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</row>
    <row r="67" spans="2:26" x14ac:dyDescent="0.35">
      <c r="B67" s="130" t="s">
        <v>43</v>
      </c>
      <c r="C67" s="22" t="s">
        <v>212</v>
      </c>
      <c r="D67" s="22" t="s">
        <v>350</v>
      </c>
      <c r="E67" s="168">
        <v>45963</v>
      </c>
      <c r="I67" s="209"/>
      <c r="J67" s="209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</row>
    <row r="68" spans="2:26" x14ac:dyDescent="0.35">
      <c r="B68" s="130" t="s">
        <v>43</v>
      </c>
      <c r="C68" s="22" t="s">
        <v>215</v>
      </c>
      <c r="D68" s="22" t="s">
        <v>216</v>
      </c>
      <c r="E68" s="168">
        <v>42878</v>
      </c>
      <c r="I68" s="209"/>
      <c r="J68" s="209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</row>
    <row r="69" spans="2:26" x14ac:dyDescent="0.35">
      <c r="B69" s="130" t="s">
        <v>43</v>
      </c>
      <c r="C69" s="22" t="s">
        <v>221</v>
      </c>
      <c r="D69" s="22" t="s">
        <v>222</v>
      </c>
      <c r="E69" s="168">
        <v>45871</v>
      </c>
      <c r="I69" s="209"/>
      <c r="J69" s="209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</row>
    <row r="70" spans="2:26" x14ac:dyDescent="0.35">
      <c r="B70" s="130" t="s">
        <v>43</v>
      </c>
      <c r="C70" s="22" t="s">
        <v>224</v>
      </c>
      <c r="D70" s="22" t="s">
        <v>225</v>
      </c>
      <c r="E70" s="168">
        <v>45810</v>
      </c>
      <c r="I70" s="209"/>
      <c r="J70" s="209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</row>
    <row r="71" spans="2:26" x14ac:dyDescent="0.35">
      <c r="B71" s="130" t="s">
        <v>43</v>
      </c>
      <c r="C71" s="22" t="s">
        <v>226</v>
      </c>
      <c r="D71" s="22" t="s">
        <v>227</v>
      </c>
      <c r="E71" s="168">
        <v>44228</v>
      </c>
      <c r="I71" s="209"/>
      <c r="J71" s="209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</row>
    <row r="72" spans="2:26" x14ac:dyDescent="0.35">
      <c r="B72" s="130" t="s">
        <v>469</v>
      </c>
      <c r="C72" s="22" t="s">
        <v>232</v>
      </c>
      <c r="D72" s="22" t="s">
        <v>233</v>
      </c>
      <c r="E72" s="168">
        <v>45537</v>
      </c>
      <c r="I72" s="209"/>
      <c r="J72" s="209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</row>
    <row r="73" spans="2:26" x14ac:dyDescent="0.35">
      <c r="B73" s="130" t="s">
        <v>469</v>
      </c>
      <c r="C73" s="22" t="s">
        <v>232</v>
      </c>
      <c r="D73" s="22" t="s">
        <v>233</v>
      </c>
      <c r="E73" s="168">
        <v>45537</v>
      </c>
      <c r="I73" s="209"/>
      <c r="J73" s="209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</row>
    <row r="74" spans="2:26" x14ac:dyDescent="0.35">
      <c r="B74" s="130" t="s">
        <v>469</v>
      </c>
      <c r="C74" s="22" t="s">
        <v>232</v>
      </c>
      <c r="D74" s="22" t="s">
        <v>233</v>
      </c>
      <c r="E74" s="168">
        <v>45537</v>
      </c>
      <c r="I74" s="209"/>
      <c r="J74" s="209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</row>
    <row r="75" spans="2:26" x14ac:dyDescent="0.35">
      <c r="B75" s="130" t="s">
        <v>469</v>
      </c>
      <c r="C75" s="22" t="s">
        <v>232</v>
      </c>
      <c r="D75" s="22" t="s">
        <v>233</v>
      </c>
      <c r="E75" s="168">
        <v>45537</v>
      </c>
      <c r="I75" s="209"/>
      <c r="J75" s="209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</row>
    <row r="76" spans="2:26" x14ac:dyDescent="0.35">
      <c r="B76" s="130" t="s">
        <v>469</v>
      </c>
      <c r="C76" s="22" t="s">
        <v>232</v>
      </c>
      <c r="D76" s="22" t="s">
        <v>233</v>
      </c>
      <c r="E76" s="168">
        <v>45475</v>
      </c>
      <c r="I76" s="209"/>
      <c r="J76" s="209"/>
      <c r="K76" s="210"/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0"/>
    </row>
    <row r="77" spans="2:26" x14ac:dyDescent="0.35">
      <c r="B77" s="130" t="s">
        <v>469</v>
      </c>
      <c r="C77" s="22" t="s">
        <v>232</v>
      </c>
      <c r="D77" s="22" t="s">
        <v>233</v>
      </c>
      <c r="E77" s="168">
        <v>45475</v>
      </c>
    </row>
    <row r="78" spans="2:26" x14ac:dyDescent="0.35">
      <c r="B78" s="130" t="s">
        <v>469</v>
      </c>
      <c r="C78" s="22" t="s">
        <v>232</v>
      </c>
      <c r="D78" s="22" t="s">
        <v>233</v>
      </c>
      <c r="E78" s="168">
        <v>45475</v>
      </c>
    </row>
    <row r="79" spans="2:26" x14ac:dyDescent="0.35">
      <c r="B79" s="130" t="s">
        <v>469</v>
      </c>
      <c r="C79" s="22" t="s">
        <v>232</v>
      </c>
      <c r="D79" s="22" t="s">
        <v>233</v>
      </c>
      <c r="E79" s="168">
        <v>45475</v>
      </c>
    </row>
    <row r="80" spans="2:26" x14ac:dyDescent="0.35">
      <c r="B80" s="130" t="s">
        <v>43</v>
      </c>
      <c r="C80" s="22" t="s">
        <v>238</v>
      </c>
      <c r="D80" s="22" t="s">
        <v>239</v>
      </c>
      <c r="E80" s="168">
        <v>46540</v>
      </c>
    </row>
    <row r="81" spans="2:5" x14ac:dyDescent="0.35">
      <c r="B81" s="130" t="s">
        <v>43</v>
      </c>
      <c r="C81" s="22" t="s">
        <v>238</v>
      </c>
      <c r="D81" s="22" t="s">
        <v>239</v>
      </c>
      <c r="E81" s="168">
        <v>46540</v>
      </c>
    </row>
    <row r="82" spans="2:5" x14ac:dyDescent="0.35">
      <c r="B82" s="130" t="s">
        <v>43</v>
      </c>
      <c r="C82" s="22" t="s">
        <v>238</v>
      </c>
      <c r="D82" s="22" t="s">
        <v>239</v>
      </c>
      <c r="E82" s="168">
        <v>46540</v>
      </c>
    </row>
    <row r="83" spans="2:5" x14ac:dyDescent="0.35">
      <c r="B83" s="130" t="s">
        <v>43</v>
      </c>
      <c r="C83" s="22" t="s">
        <v>241</v>
      </c>
      <c r="D83" s="22" t="s">
        <v>239</v>
      </c>
      <c r="E83" s="168">
        <v>46175</v>
      </c>
    </row>
    <row r="84" spans="2:5" x14ac:dyDescent="0.35">
      <c r="B84" s="130" t="s">
        <v>43</v>
      </c>
      <c r="C84" s="22" t="s">
        <v>241</v>
      </c>
      <c r="D84" s="22" t="s">
        <v>239</v>
      </c>
      <c r="E84" s="168">
        <v>46175</v>
      </c>
    </row>
    <row r="85" spans="2:5" x14ac:dyDescent="0.35">
      <c r="B85" s="130" t="s">
        <v>43</v>
      </c>
      <c r="C85" s="22" t="s">
        <v>243</v>
      </c>
      <c r="D85" s="22" t="s">
        <v>244</v>
      </c>
      <c r="E85" s="168">
        <v>45201</v>
      </c>
    </row>
    <row r="86" spans="2:5" x14ac:dyDescent="0.35">
      <c r="B86" s="130" t="s">
        <v>43</v>
      </c>
      <c r="C86" s="22" t="s">
        <v>246</v>
      </c>
      <c r="D86" s="22" t="s">
        <v>244</v>
      </c>
      <c r="E86" s="168">
        <v>45201</v>
      </c>
    </row>
    <row r="87" spans="2:5" x14ac:dyDescent="0.35">
      <c r="B87" s="130" t="s">
        <v>43</v>
      </c>
      <c r="C87" s="22" t="s">
        <v>249</v>
      </c>
      <c r="D87" s="22" t="s">
        <v>250</v>
      </c>
      <c r="E87" s="168">
        <v>45993</v>
      </c>
    </row>
    <row r="88" spans="2:5" x14ac:dyDescent="0.35">
      <c r="B88" s="130" t="s">
        <v>467</v>
      </c>
      <c r="C88" s="22" t="s">
        <v>252</v>
      </c>
      <c r="D88" s="22" t="s">
        <v>253</v>
      </c>
      <c r="E88" s="168">
        <v>46052</v>
      </c>
    </row>
    <row r="89" spans="2:5" x14ac:dyDescent="0.35">
      <c r="B89" s="130" t="s">
        <v>467</v>
      </c>
      <c r="C89" s="22" t="s">
        <v>252</v>
      </c>
      <c r="D89" s="22" t="s">
        <v>253</v>
      </c>
      <c r="E89" s="168">
        <v>46053</v>
      </c>
    </row>
    <row r="90" spans="2:5" x14ac:dyDescent="0.35">
      <c r="B90" s="130" t="s">
        <v>467</v>
      </c>
      <c r="C90" s="22" t="s">
        <v>252</v>
      </c>
      <c r="D90" s="22" t="s">
        <v>253</v>
      </c>
      <c r="E90" s="168">
        <v>46054</v>
      </c>
    </row>
    <row r="91" spans="2:5" x14ac:dyDescent="0.35">
      <c r="B91" s="130" t="s">
        <v>467</v>
      </c>
      <c r="C91" s="22" t="s">
        <v>252</v>
      </c>
      <c r="D91" s="22" t="s">
        <v>253</v>
      </c>
      <c r="E91" s="168">
        <v>46055</v>
      </c>
    </row>
    <row r="92" spans="2:5" x14ac:dyDescent="0.35">
      <c r="B92" s="130" t="s">
        <v>467</v>
      </c>
      <c r="C92" s="22" t="s">
        <v>252</v>
      </c>
      <c r="D92" s="22" t="s">
        <v>253</v>
      </c>
      <c r="E92" s="168">
        <v>46056</v>
      </c>
    </row>
    <row r="93" spans="2:5" x14ac:dyDescent="0.35">
      <c r="B93" s="130" t="s">
        <v>467</v>
      </c>
      <c r="C93" s="22" t="s">
        <v>252</v>
      </c>
      <c r="D93" s="22" t="s">
        <v>253</v>
      </c>
      <c r="E93" s="168">
        <v>46057</v>
      </c>
    </row>
    <row r="94" spans="2:5" x14ac:dyDescent="0.35">
      <c r="B94" s="130" t="s">
        <v>467</v>
      </c>
      <c r="C94" s="22" t="s">
        <v>252</v>
      </c>
      <c r="D94" s="22" t="s">
        <v>253</v>
      </c>
      <c r="E94" s="168">
        <v>46058</v>
      </c>
    </row>
    <row r="95" spans="2:5" x14ac:dyDescent="0.35">
      <c r="B95" s="130" t="s">
        <v>467</v>
      </c>
      <c r="C95" s="22" t="s">
        <v>252</v>
      </c>
      <c r="D95" s="22" t="s">
        <v>253</v>
      </c>
      <c r="E95" s="168">
        <v>46059</v>
      </c>
    </row>
    <row r="96" spans="2:5" x14ac:dyDescent="0.35">
      <c r="B96" s="130" t="s">
        <v>467</v>
      </c>
      <c r="C96" s="22" t="s">
        <v>256</v>
      </c>
      <c r="D96" s="22" t="s">
        <v>253</v>
      </c>
      <c r="E96" s="168">
        <v>46205</v>
      </c>
    </row>
    <row r="97" spans="2:5" x14ac:dyDescent="0.35">
      <c r="B97" s="130" t="s">
        <v>467</v>
      </c>
      <c r="C97" s="22" t="s">
        <v>256</v>
      </c>
      <c r="D97" s="22" t="s">
        <v>253</v>
      </c>
      <c r="E97" s="168">
        <v>46205</v>
      </c>
    </row>
    <row r="98" spans="2:5" x14ac:dyDescent="0.35">
      <c r="B98" s="130" t="s">
        <v>467</v>
      </c>
      <c r="C98" s="22" t="s">
        <v>256</v>
      </c>
      <c r="D98" s="22" t="s">
        <v>253</v>
      </c>
      <c r="E98" s="168">
        <v>46205</v>
      </c>
    </row>
    <row r="99" spans="2:5" x14ac:dyDescent="0.35">
      <c r="B99" s="130" t="s">
        <v>467</v>
      </c>
      <c r="C99" s="22" t="s">
        <v>256</v>
      </c>
      <c r="D99" s="22" t="s">
        <v>253</v>
      </c>
      <c r="E99" s="168">
        <v>46205</v>
      </c>
    </row>
    <row r="100" spans="2:5" x14ac:dyDescent="0.35">
      <c r="B100" s="130" t="s">
        <v>43</v>
      </c>
      <c r="C100" s="22" t="s">
        <v>257</v>
      </c>
      <c r="D100" s="22" t="s">
        <v>258</v>
      </c>
      <c r="E100" s="168">
        <v>43101</v>
      </c>
    </row>
    <row r="101" spans="2:5" x14ac:dyDescent="0.35">
      <c r="B101" s="130" t="s">
        <v>43</v>
      </c>
      <c r="C101" s="22" t="s">
        <v>257</v>
      </c>
      <c r="D101" s="22" t="s">
        <v>258</v>
      </c>
      <c r="E101" s="168">
        <v>43101</v>
      </c>
    </row>
    <row r="102" spans="2:5" x14ac:dyDescent="0.35">
      <c r="B102" s="130" t="s">
        <v>43</v>
      </c>
      <c r="C102" s="22" t="s">
        <v>257</v>
      </c>
      <c r="D102" s="22" t="s">
        <v>258</v>
      </c>
      <c r="E102" s="168">
        <v>43101</v>
      </c>
    </row>
    <row r="103" spans="2:5" x14ac:dyDescent="0.35">
      <c r="B103" s="130" t="s">
        <v>43</v>
      </c>
      <c r="C103" s="22" t="s">
        <v>257</v>
      </c>
      <c r="D103" s="22" t="s">
        <v>258</v>
      </c>
      <c r="E103" s="168">
        <v>43101</v>
      </c>
    </row>
    <row r="104" spans="2:5" x14ac:dyDescent="0.35">
      <c r="B104" s="130" t="s">
        <v>43</v>
      </c>
      <c r="C104" s="22" t="s">
        <v>257</v>
      </c>
      <c r="D104" s="22" t="s">
        <v>258</v>
      </c>
      <c r="E104" s="168">
        <v>43101</v>
      </c>
    </row>
    <row r="105" spans="2:5" x14ac:dyDescent="0.35">
      <c r="B105" s="130" t="s">
        <v>43</v>
      </c>
      <c r="C105" s="22" t="s">
        <v>257</v>
      </c>
      <c r="D105" s="22" t="s">
        <v>258</v>
      </c>
      <c r="E105" s="168">
        <v>43191</v>
      </c>
    </row>
    <row r="106" spans="2:5" x14ac:dyDescent="0.35">
      <c r="B106" s="130" t="s">
        <v>43</v>
      </c>
      <c r="C106" s="22" t="s">
        <v>257</v>
      </c>
      <c r="D106" s="22" t="s">
        <v>258</v>
      </c>
      <c r="E106" s="168">
        <v>43101</v>
      </c>
    </row>
    <row r="107" spans="2:5" x14ac:dyDescent="0.35">
      <c r="B107" s="130" t="s">
        <v>43</v>
      </c>
      <c r="C107" s="22" t="s">
        <v>257</v>
      </c>
      <c r="D107" s="22" t="s">
        <v>258</v>
      </c>
      <c r="E107" s="168">
        <v>43160</v>
      </c>
    </row>
    <row r="108" spans="2:5" x14ac:dyDescent="0.35">
      <c r="B108" s="130" t="s">
        <v>468</v>
      </c>
      <c r="C108" s="22" t="s">
        <v>260</v>
      </c>
      <c r="D108" s="22" t="s">
        <v>261</v>
      </c>
      <c r="E108" s="168">
        <v>45475</v>
      </c>
    </row>
    <row r="109" spans="2:5" x14ac:dyDescent="0.35">
      <c r="B109" s="130" t="s">
        <v>468</v>
      </c>
      <c r="C109" s="22" t="s">
        <v>260</v>
      </c>
      <c r="D109" s="22" t="s">
        <v>261</v>
      </c>
      <c r="E109" s="168">
        <v>45475</v>
      </c>
    </row>
    <row r="110" spans="2:5" x14ac:dyDescent="0.35">
      <c r="B110" s="130" t="s">
        <v>468</v>
      </c>
      <c r="C110" s="22" t="s">
        <v>260</v>
      </c>
      <c r="D110" s="22" t="s">
        <v>261</v>
      </c>
      <c r="E110" s="168">
        <v>45475</v>
      </c>
    </row>
    <row r="111" spans="2:5" x14ac:dyDescent="0.35">
      <c r="B111" s="130" t="s">
        <v>468</v>
      </c>
      <c r="C111" s="22" t="s">
        <v>260</v>
      </c>
      <c r="D111" s="22" t="s">
        <v>261</v>
      </c>
      <c r="E111" s="168">
        <v>45475</v>
      </c>
    </row>
    <row r="112" spans="2:5" x14ac:dyDescent="0.35">
      <c r="B112" s="130" t="s">
        <v>468</v>
      </c>
      <c r="C112" s="22" t="s">
        <v>263</v>
      </c>
      <c r="D112" s="22" t="s">
        <v>264</v>
      </c>
      <c r="E112" s="168">
        <v>45414</v>
      </c>
    </row>
    <row r="113" spans="2:5" x14ac:dyDescent="0.35">
      <c r="B113" s="130" t="s">
        <v>468</v>
      </c>
      <c r="C113" s="22" t="s">
        <v>263</v>
      </c>
      <c r="D113" s="22" t="s">
        <v>264</v>
      </c>
      <c r="E113" s="168">
        <v>45414</v>
      </c>
    </row>
    <row r="114" spans="2:5" x14ac:dyDescent="0.35">
      <c r="B114" s="130" t="s">
        <v>468</v>
      </c>
      <c r="C114" s="22" t="s">
        <v>263</v>
      </c>
      <c r="D114" s="22" t="s">
        <v>264</v>
      </c>
      <c r="E114" s="168">
        <v>45414</v>
      </c>
    </row>
    <row r="115" spans="2:5" x14ac:dyDescent="0.35">
      <c r="B115" s="130" t="s">
        <v>468</v>
      </c>
      <c r="C115" s="22" t="s">
        <v>263</v>
      </c>
      <c r="D115" s="22" t="s">
        <v>264</v>
      </c>
      <c r="E115" s="168">
        <v>45414</v>
      </c>
    </row>
    <row r="116" spans="2:5" x14ac:dyDescent="0.35">
      <c r="B116" s="130" t="s">
        <v>468</v>
      </c>
      <c r="C116" s="22" t="s">
        <v>263</v>
      </c>
      <c r="D116" s="22" t="s">
        <v>264</v>
      </c>
      <c r="E116" s="168">
        <v>45414</v>
      </c>
    </row>
    <row r="117" spans="2:5" x14ac:dyDescent="0.35">
      <c r="B117" s="130" t="s">
        <v>468</v>
      </c>
      <c r="C117" s="22" t="s">
        <v>263</v>
      </c>
      <c r="D117" s="22" t="s">
        <v>264</v>
      </c>
      <c r="E117" s="168">
        <v>45414</v>
      </c>
    </row>
    <row r="118" spans="2:5" x14ac:dyDescent="0.35">
      <c r="B118" s="130" t="s">
        <v>468</v>
      </c>
      <c r="C118" s="22" t="s">
        <v>263</v>
      </c>
      <c r="D118" s="22" t="s">
        <v>264</v>
      </c>
      <c r="E118" s="168">
        <v>45414</v>
      </c>
    </row>
    <row r="119" spans="2:5" x14ac:dyDescent="0.35">
      <c r="B119" s="130" t="s">
        <v>468</v>
      </c>
      <c r="C119" s="22" t="s">
        <v>263</v>
      </c>
      <c r="D119" s="22" t="s">
        <v>264</v>
      </c>
      <c r="E119" s="168">
        <v>45414</v>
      </c>
    </row>
    <row r="120" spans="2:5" x14ac:dyDescent="0.35">
      <c r="B120" s="130" t="s">
        <v>43</v>
      </c>
      <c r="C120" s="22" t="s">
        <v>266</v>
      </c>
      <c r="D120" s="22" t="s">
        <v>258</v>
      </c>
      <c r="E120" s="168">
        <v>43101</v>
      </c>
    </row>
    <row r="121" spans="2:5" x14ac:dyDescent="0.35">
      <c r="B121" s="130" t="s">
        <v>43</v>
      </c>
      <c r="C121" s="22" t="s">
        <v>266</v>
      </c>
      <c r="D121" s="22" t="s">
        <v>258</v>
      </c>
      <c r="E121" s="168">
        <v>43101</v>
      </c>
    </row>
    <row r="122" spans="2:5" x14ac:dyDescent="0.35">
      <c r="B122" s="130" t="s">
        <v>43</v>
      </c>
      <c r="C122" s="22" t="s">
        <v>266</v>
      </c>
      <c r="D122" s="22" t="s">
        <v>258</v>
      </c>
      <c r="E122" s="168">
        <v>43132</v>
      </c>
    </row>
    <row r="123" spans="2:5" x14ac:dyDescent="0.35">
      <c r="B123" s="130" t="s">
        <v>43</v>
      </c>
      <c r="C123" s="22" t="s">
        <v>266</v>
      </c>
      <c r="D123" s="22" t="s">
        <v>258</v>
      </c>
      <c r="E123" s="168">
        <v>43101</v>
      </c>
    </row>
    <row r="124" spans="2:5" x14ac:dyDescent="0.35">
      <c r="B124" s="130" t="s">
        <v>43</v>
      </c>
      <c r="C124" s="22" t="s">
        <v>266</v>
      </c>
      <c r="D124" s="22" t="s">
        <v>258</v>
      </c>
      <c r="E124" s="168">
        <v>43101</v>
      </c>
    </row>
    <row r="125" spans="2:5" x14ac:dyDescent="0.35">
      <c r="B125" s="130" t="s">
        <v>43</v>
      </c>
      <c r="C125" s="22" t="s">
        <v>266</v>
      </c>
      <c r="D125" s="22" t="s">
        <v>258</v>
      </c>
      <c r="E125" s="168">
        <v>43101</v>
      </c>
    </row>
    <row r="126" spans="2:5" x14ac:dyDescent="0.35">
      <c r="B126" s="130" t="s">
        <v>43</v>
      </c>
      <c r="C126" s="22" t="s">
        <v>266</v>
      </c>
      <c r="D126" s="22" t="s">
        <v>258</v>
      </c>
      <c r="E126" s="168">
        <v>43101</v>
      </c>
    </row>
    <row r="127" spans="2:5" x14ac:dyDescent="0.35">
      <c r="B127" s="130" t="s">
        <v>43</v>
      </c>
      <c r="C127" s="22" t="s">
        <v>266</v>
      </c>
      <c r="D127" s="22" t="s">
        <v>258</v>
      </c>
      <c r="E127" s="168">
        <v>43101</v>
      </c>
    </row>
    <row r="128" spans="2:5" x14ac:dyDescent="0.35">
      <c r="B128" s="130" t="s">
        <v>43</v>
      </c>
      <c r="C128" s="22" t="s">
        <v>268</v>
      </c>
      <c r="D128" s="22" t="s">
        <v>269</v>
      </c>
      <c r="E128" s="168">
        <v>43101</v>
      </c>
    </row>
    <row r="129" spans="2:5" x14ac:dyDescent="0.35">
      <c r="B129" s="130" t="s">
        <v>43</v>
      </c>
      <c r="C129" s="22" t="s">
        <v>268</v>
      </c>
      <c r="D129" s="22" t="s">
        <v>269</v>
      </c>
      <c r="E129" s="168">
        <v>43101</v>
      </c>
    </row>
    <row r="130" spans="2:5" x14ac:dyDescent="0.35">
      <c r="B130" s="130" t="s">
        <v>43</v>
      </c>
      <c r="C130" s="22" t="s">
        <v>268</v>
      </c>
      <c r="D130" s="22" t="s">
        <v>269</v>
      </c>
      <c r="E130" s="168">
        <v>43101</v>
      </c>
    </row>
    <row r="131" spans="2:5" x14ac:dyDescent="0.35">
      <c r="B131" s="130" t="s">
        <v>43</v>
      </c>
      <c r="C131" s="22" t="s">
        <v>268</v>
      </c>
      <c r="D131" s="22" t="s">
        <v>269</v>
      </c>
      <c r="E131" s="168">
        <v>43101</v>
      </c>
    </row>
    <row r="132" spans="2:5" x14ac:dyDescent="0.35">
      <c r="B132" s="130" t="s">
        <v>43</v>
      </c>
      <c r="C132" s="22" t="s">
        <v>268</v>
      </c>
      <c r="D132" s="22" t="s">
        <v>269</v>
      </c>
      <c r="E132" s="168">
        <v>43101</v>
      </c>
    </row>
    <row r="133" spans="2:5" x14ac:dyDescent="0.35">
      <c r="B133" s="130" t="s">
        <v>43</v>
      </c>
      <c r="C133" s="22" t="s">
        <v>268</v>
      </c>
      <c r="D133" s="22" t="s">
        <v>269</v>
      </c>
      <c r="E133" s="168">
        <v>43101</v>
      </c>
    </row>
    <row r="134" spans="2:5" x14ac:dyDescent="0.35">
      <c r="B134" s="130" t="s">
        <v>43</v>
      </c>
      <c r="C134" s="22" t="s">
        <v>268</v>
      </c>
      <c r="D134" s="22" t="s">
        <v>269</v>
      </c>
      <c r="E134" s="168">
        <v>43101</v>
      </c>
    </row>
    <row r="135" spans="2:5" x14ac:dyDescent="0.35">
      <c r="B135" s="130" t="s">
        <v>43</v>
      </c>
      <c r="C135" s="22" t="s">
        <v>268</v>
      </c>
      <c r="D135" s="22" t="s">
        <v>269</v>
      </c>
      <c r="E135" s="168">
        <v>43101</v>
      </c>
    </row>
    <row r="136" spans="2:5" x14ac:dyDescent="0.35">
      <c r="B136" s="130" t="s">
        <v>43</v>
      </c>
      <c r="C136" s="22" t="s">
        <v>271</v>
      </c>
      <c r="D136" s="22" t="s">
        <v>272</v>
      </c>
      <c r="E136" s="168">
        <v>44950</v>
      </c>
    </row>
    <row r="137" spans="2:5" x14ac:dyDescent="0.35">
      <c r="B137" s="130" t="s">
        <v>469</v>
      </c>
      <c r="C137" s="22" t="s">
        <v>277</v>
      </c>
      <c r="D137" s="22" t="s">
        <v>278</v>
      </c>
      <c r="E137" s="168">
        <v>45658</v>
      </c>
    </row>
    <row r="138" spans="2:5" x14ac:dyDescent="0.35">
      <c r="B138" s="130" t="s">
        <v>469</v>
      </c>
      <c r="C138" s="22" t="s">
        <v>277</v>
      </c>
      <c r="D138" s="22" t="s">
        <v>278</v>
      </c>
      <c r="E138" s="168">
        <v>45659</v>
      </c>
    </row>
    <row r="139" spans="2:5" x14ac:dyDescent="0.35">
      <c r="B139" s="130" t="s">
        <v>469</v>
      </c>
      <c r="C139" s="22" t="s">
        <v>281</v>
      </c>
      <c r="D139" s="22" t="s">
        <v>278</v>
      </c>
      <c r="E139" s="168">
        <v>45660</v>
      </c>
    </row>
    <row r="140" spans="2:5" x14ac:dyDescent="0.35">
      <c r="B140" s="130" t="s">
        <v>469</v>
      </c>
      <c r="C140" s="22" t="s">
        <v>281</v>
      </c>
      <c r="D140" s="22" t="s">
        <v>278</v>
      </c>
      <c r="E140" s="168">
        <v>45661</v>
      </c>
    </row>
    <row r="141" spans="2:5" x14ac:dyDescent="0.35">
      <c r="B141" s="130" t="s">
        <v>469</v>
      </c>
      <c r="C141" s="22" t="s">
        <v>284</v>
      </c>
      <c r="D141" s="22" t="s">
        <v>278</v>
      </c>
      <c r="E141" s="168">
        <v>45662</v>
      </c>
    </row>
    <row r="142" spans="2:5" x14ac:dyDescent="0.35">
      <c r="B142" s="130" t="s">
        <v>469</v>
      </c>
      <c r="C142" s="22" t="s">
        <v>284</v>
      </c>
      <c r="D142" s="22" t="s">
        <v>278</v>
      </c>
      <c r="E142" s="168">
        <v>45663</v>
      </c>
    </row>
    <row r="143" spans="2:5" x14ac:dyDescent="0.35">
      <c r="B143" s="130" t="s">
        <v>469</v>
      </c>
      <c r="C143" s="22" t="s">
        <v>284</v>
      </c>
      <c r="D143" s="22" t="s">
        <v>278</v>
      </c>
      <c r="E143" s="168">
        <v>45664</v>
      </c>
    </row>
    <row r="144" spans="2:5" x14ac:dyDescent="0.35">
      <c r="B144" s="130" t="s">
        <v>43</v>
      </c>
      <c r="C144" s="22" t="s">
        <v>287</v>
      </c>
      <c r="D144" s="22" t="s">
        <v>163</v>
      </c>
      <c r="E144" s="168">
        <v>43221</v>
      </c>
    </row>
    <row r="145" spans="2:5" x14ac:dyDescent="0.35">
      <c r="B145" s="130" t="s">
        <v>468</v>
      </c>
      <c r="C145" s="22" t="s">
        <v>290</v>
      </c>
      <c r="D145" s="22" t="s">
        <v>291</v>
      </c>
      <c r="E145" s="168">
        <v>44418</v>
      </c>
    </row>
    <row r="146" spans="2:5" x14ac:dyDescent="0.35">
      <c r="B146" s="130" t="s">
        <v>468</v>
      </c>
      <c r="C146" s="22" t="s">
        <v>293</v>
      </c>
      <c r="D146" s="22" t="s">
        <v>291</v>
      </c>
      <c r="E146" s="168">
        <v>44428</v>
      </c>
    </row>
    <row r="147" spans="2:5" x14ac:dyDescent="0.35">
      <c r="B147" s="130" t="s">
        <v>43</v>
      </c>
      <c r="C147" s="22" t="s">
        <v>294</v>
      </c>
      <c r="D147" s="22" t="s">
        <v>351</v>
      </c>
      <c r="E147" s="168">
        <v>44409</v>
      </c>
    </row>
    <row r="148" spans="2:5" x14ac:dyDescent="0.35">
      <c r="B148" s="130" t="s">
        <v>138</v>
      </c>
      <c r="C148" s="22" t="s">
        <v>297</v>
      </c>
      <c r="D148" s="22" t="s">
        <v>298</v>
      </c>
      <c r="E148" s="168">
        <v>43101</v>
      </c>
    </row>
    <row r="149" spans="2:5" x14ac:dyDescent="0.35">
      <c r="B149" s="130" t="s">
        <v>470</v>
      </c>
      <c r="C149" s="22" t="s">
        <v>300</v>
      </c>
      <c r="D149" s="22" t="s">
        <v>301</v>
      </c>
      <c r="E149" s="168">
        <v>45932</v>
      </c>
    </row>
    <row r="150" spans="2:5" x14ac:dyDescent="0.35">
      <c r="B150" s="130" t="s">
        <v>470</v>
      </c>
      <c r="C150" s="22" t="s">
        <v>303</v>
      </c>
      <c r="D150" s="22" t="s">
        <v>301</v>
      </c>
      <c r="E150" s="168">
        <v>45932</v>
      </c>
    </row>
    <row r="151" spans="2:5" x14ac:dyDescent="0.35">
      <c r="B151" s="130" t="s">
        <v>304</v>
      </c>
      <c r="C151" s="22" t="s">
        <v>305</v>
      </c>
      <c r="D151" s="22" t="s">
        <v>306</v>
      </c>
      <c r="E151" s="168">
        <v>45293</v>
      </c>
    </row>
    <row r="152" spans="2:5" x14ac:dyDescent="0.35">
      <c r="B152" s="130" t="s">
        <v>304</v>
      </c>
      <c r="C152" s="22" t="s">
        <v>308</v>
      </c>
      <c r="D152" s="22" t="s">
        <v>306</v>
      </c>
      <c r="E152" s="168">
        <v>45293</v>
      </c>
    </row>
    <row r="153" spans="2:5" x14ac:dyDescent="0.35">
      <c r="B153" s="130" t="s">
        <v>43</v>
      </c>
      <c r="C153" s="22" t="s">
        <v>312</v>
      </c>
      <c r="D153" s="22" t="s">
        <v>313</v>
      </c>
      <c r="E153" s="168">
        <v>46267</v>
      </c>
    </row>
    <row r="154" spans="2:5" x14ac:dyDescent="0.35">
      <c r="B154" s="130" t="s">
        <v>43</v>
      </c>
      <c r="C154" s="22" t="s">
        <v>315</v>
      </c>
      <c r="D154" s="22" t="s">
        <v>313</v>
      </c>
      <c r="E154" s="168">
        <v>46270</v>
      </c>
    </row>
    <row r="155" spans="2:5" x14ac:dyDescent="0.35">
      <c r="B155" s="130" t="s">
        <v>43</v>
      </c>
      <c r="C155" s="22" t="s">
        <v>317</v>
      </c>
      <c r="D155" s="22" t="s">
        <v>313</v>
      </c>
      <c r="E155" s="168">
        <v>46273</v>
      </c>
    </row>
    <row r="156" spans="2:5" x14ac:dyDescent="0.35">
      <c r="B156" s="130" t="s">
        <v>467</v>
      </c>
      <c r="C156" s="22" t="s">
        <v>319</v>
      </c>
      <c r="D156" s="22" t="s">
        <v>253</v>
      </c>
      <c r="E156" s="168">
        <v>46024</v>
      </c>
    </row>
    <row r="157" spans="2:5" x14ac:dyDescent="0.35">
      <c r="B157" s="130" t="s">
        <v>43</v>
      </c>
      <c r="C157" s="22" t="s">
        <v>322</v>
      </c>
      <c r="D157" s="22" t="s">
        <v>323</v>
      </c>
      <c r="E157" s="168">
        <v>45810</v>
      </c>
    </row>
    <row r="158" spans="2:5" x14ac:dyDescent="0.35">
      <c r="B158" s="130" t="s">
        <v>43</v>
      </c>
      <c r="C158" s="22" t="s">
        <v>324</v>
      </c>
      <c r="D158" s="22" t="s">
        <v>325</v>
      </c>
      <c r="E158" s="168">
        <v>43115</v>
      </c>
    </row>
    <row r="159" spans="2:5" x14ac:dyDescent="0.35">
      <c r="B159" s="130" t="s">
        <v>43</v>
      </c>
      <c r="C159" s="22" t="s">
        <v>327</v>
      </c>
      <c r="D159" s="22" t="s">
        <v>325</v>
      </c>
      <c r="E159" s="168">
        <v>43115</v>
      </c>
    </row>
    <row r="160" spans="2:5" x14ac:dyDescent="0.35">
      <c r="B160" s="130" t="s">
        <v>43</v>
      </c>
      <c r="C160" s="22" t="s">
        <v>328</v>
      </c>
      <c r="D160" s="22" t="s">
        <v>329</v>
      </c>
      <c r="E160" s="168">
        <v>44378</v>
      </c>
    </row>
    <row r="161" spans="2:5" x14ac:dyDescent="0.35">
      <c r="B161" s="130" t="s">
        <v>43</v>
      </c>
      <c r="C161" s="22" t="s">
        <v>331</v>
      </c>
      <c r="D161" s="22" t="s">
        <v>329</v>
      </c>
      <c r="E161" s="168">
        <v>44378</v>
      </c>
    </row>
    <row r="162" spans="2:5" x14ac:dyDescent="0.35">
      <c r="B162" s="130" t="s">
        <v>43</v>
      </c>
      <c r="C162" s="22" t="s">
        <v>332</v>
      </c>
      <c r="D162" s="22" t="s">
        <v>329</v>
      </c>
      <c r="E162" s="168">
        <v>42736</v>
      </c>
    </row>
    <row r="163" spans="2:5" x14ac:dyDescent="0.35">
      <c r="B163" s="130" t="s">
        <v>43</v>
      </c>
      <c r="C163" s="22" t="s">
        <v>334</v>
      </c>
      <c r="D163" s="22" t="s">
        <v>329</v>
      </c>
      <c r="E163" s="168">
        <v>45810</v>
      </c>
    </row>
    <row r="164" spans="2:5" x14ac:dyDescent="0.35">
      <c r="B164" s="130" t="s">
        <v>43</v>
      </c>
      <c r="C164" s="22" t="s">
        <v>335</v>
      </c>
      <c r="D164" s="22" t="s">
        <v>336</v>
      </c>
      <c r="E164" s="168">
        <v>43101</v>
      </c>
    </row>
    <row r="165" spans="2:5" x14ac:dyDescent="0.35">
      <c r="B165" s="130" t="s">
        <v>43</v>
      </c>
      <c r="C165" s="22" t="s">
        <v>338</v>
      </c>
      <c r="D165" s="22" t="s">
        <v>336</v>
      </c>
      <c r="E165" s="168">
        <v>43101</v>
      </c>
    </row>
    <row r="166" spans="2:5" ht="15" thickBot="1" x14ac:dyDescent="0.4">
      <c r="B166" s="131" t="s">
        <v>304</v>
      </c>
      <c r="C166" s="132" t="s">
        <v>341</v>
      </c>
      <c r="D166" s="132" t="s">
        <v>342</v>
      </c>
      <c r="E166" s="169">
        <v>44410</v>
      </c>
    </row>
  </sheetData>
  <autoFilter ref="B5:E166" xr:uid="{C817D7B1-E104-451E-9163-3B2EE8C87BB2}"/>
  <mergeCells count="1">
    <mergeCell ref="K5:Z5"/>
  </mergeCells>
  <dataValidations count="1">
    <dataValidation type="list" allowBlank="1" showInputMessage="1" showErrorMessage="1" sqref="AI4" xr:uid="{5E3A3671-EB11-41E8-BE7A-E78C7578E7E6}">
      <formula1>$AB$6:$AB$16</formula1>
    </dataValidation>
  </dataValidation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F7E9-8BBD-4F38-803F-6C4DE8B77A7B}">
  <sheetPr>
    <tabColor theme="4" tint="-0.249977111117893"/>
  </sheetPr>
  <dimension ref="B1:D81"/>
  <sheetViews>
    <sheetView topLeftCell="A25" zoomScaleNormal="100" workbookViewId="0">
      <selection activeCell="D39" sqref="D39"/>
    </sheetView>
  </sheetViews>
  <sheetFormatPr defaultRowHeight="14.5" x14ac:dyDescent="0.35"/>
  <cols>
    <col min="1" max="1" width="14.26953125" style="4" customWidth="1"/>
    <col min="2" max="2" width="50.6328125" style="4" customWidth="1"/>
    <col min="3" max="3" width="24.81640625" style="4" customWidth="1"/>
    <col min="4" max="16384" width="8.7265625" style="4"/>
  </cols>
  <sheetData>
    <row r="1" spans="2:3" x14ac:dyDescent="0.35">
      <c r="B1" s="719" t="s">
        <v>932</v>
      </c>
    </row>
    <row r="2" spans="2:3" x14ac:dyDescent="0.35">
      <c r="B2" s="748" t="s">
        <v>968</v>
      </c>
    </row>
    <row r="3" spans="2:3" x14ac:dyDescent="0.35">
      <c r="B3" s="748"/>
    </row>
    <row r="4" spans="2:3" x14ac:dyDescent="0.35">
      <c r="B4" s="748"/>
    </row>
    <row r="5" spans="2:3" ht="20.5" customHeight="1" x14ac:dyDescent="0.35">
      <c r="B5" s="173" t="s">
        <v>462</v>
      </c>
      <c r="C5" s="173" t="s">
        <v>463</v>
      </c>
    </row>
    <row r="6" spans="2:3" x14ac:dyDescent="0.35">
      <c r="B6" s="22" t="s">
        <v>258</v>
      </c>
      <c r="C6" s="22" t="s">
        <v>459</v>
      </c>
    </row>
    <row r="7" spans="2:3" x14ac:dyDescent="0.35">
      <c r="B7" s="22" t="s">
        <v>239</v>
      </c>
      <c r="C7" s="22" t="s">
        <v>464</v>
      </c>
    </row>
    <row r="8" spans="2:3" x14ac:dyDescent="0.35">
      <c r="B8" s="22" t="s">
        <v>269</v>
      </c>
      <c r="C8" s="22" t="s">
        <v>461</v>
      </c>
    </row>
    <row r="9" spans="2:3" x14ac:dyDescent="0.35">
      <c r="B9" s="22" t="s">
        <v>261</v>
      </c>
      <c r="C9" s="22" t="s">
        <v>459</v>
      </c>
    </row>
    <row r="10" spans="2:3" x14ac:dyDescent="0.35">
      <c r="B10" s="22" t="s">
        <v>264</v>
      </c>
      <c r="C10" s="22" t="s">
        <v>459</v>
      </c>
    </row>
    <row r="11" spans="2:3" x14ac:dyDescent="0.35">
      <c r="B11" s="22" t="s">
        <v>244</v>
      </c>
      <c r="C11" s="22" t="s">
        <v>459</v>
      </c>
    </row>
    <row r="12" spans="2:3" x14ac:dyDescent="0.35">
      <c r="B12" s="22" t="s">
        <v>272</v>
      </c>
      <c r="C12" s="22" t="s">
        <v>459</v>
      </c>
    </row>
    <row r="13" spans="2:3" x14ac:dyDescent="0.35">
      <c r="B13" s="22" t="s">
        <v>250</v>
      </c>
      <c r="C13" s="22" t="s">
        <v>464</v>
      </c>
    </row>
    <row r="14" spans="2:3" x14ac:dyDescent="0.35">
      <c r="B14" s="22" t="s">
        <v>233</v>
      </c>
      <c r="C14" s="22" t="s">
        <v>459</v>
      </c>
    </row>
    <row r="15" spans="2:3" x14ac:dyDescent="0.35">
      <c r="B15" s="22" t="s">
        <v>192</v>
      </c>
      <c r="C15" s="22" t="s">
        <v>464</v>
      </c>
    </row>
    <row r="16" spans="2:3" x14ac:dyDescent="0.35">
      <c r="B16" s="22" t="s">
        <v>313</v>
      </c>
      <c r="C16" s="22" t="s">
        <v>464</v>
      </c>
    </row>
    <row r="17" spans="2:3" x14ac:dyDescent="0.35">
      <c r="B17" s="22" t="s">
        <v>181</v>
      </c>
      <c r="C17" s="22" t="s">
        <v>464</v>
      </c>
    </row>
    <row r="18" spans="2:3" x14ac:dyDescent="0.35">
      <c r="B18" s="22" t="s">
        <v>184</v>
      </c>
      <c r="C18" s="22" t="s">
        <v>464</v>
      </c>
    </row>
    <row r="19" spans="2:3" x14ac:dyDescent="0.35">
      <c r="B19" s="22" t="s">
        <v>177</v>
      </c>
      <c r="C19" s="22" t="s">
        <v>461</v>
      </c>
    </row>
    <row r="20" spans="2:3" x14ac:dyDescent="0.35">
      <c r="B20" s="22" t="s">
        <v>173</v>
      </c>
      <c r="C20" s="22" t="s">
        <v>464</v>
      </c>
    </row>
    <row r="21" spans="2:3" x14ac:dyDescent="0.35">
      <c r="B21" s="22" t="s">
        <v>188</v>
      </c>
      <c r="C21" s="22" t="s">
        <v>464</v>
      </c>
    </row>
    <row r="22" spans="2:3" x14ac:dyDescent="0.35">
      <c r="B22" s="22" t="s">
        <v>122</v>
      </c>
      <c r="C22" s="22" t="s">
        <v>464</v>
      </c>
    </row>
    <row r="23" spans="2:3" x14ac:dyDescent="0.35">
      <c r="B23" s="22" t="s">
        <v>124</v>
      </c>
      <c r="C23" s="22" t="s">
        <v>464</v>
      </c>
    </row>
    <row r="24" spans="2:3" x14ac:dyDescent="0.35">
      <c r="B24" s="22" t="s">
        <v>126</v>
      </c>
      <c r="C24" s="22" t="s">
        <v>464</v>
      </c>
    </row>
    <row r="25" spans="2:3" x14ac:dyDescent="0.35">
      <c r="B25" s="22" t="s">
        <v>118</v>
      </c>
      <c r="C25" s="22" t="s">
        <v>461</v>
      </c>
    </row>
    <row r="26" spans="2:3" x14ac:dyDescent="0.35">
      <c r="B26" s="22" t="s">
        <v>102</v>
      </c>
      <c r="C26" s="22" t="s">
        <v>464</v>
      </c>
    </row>
    <row r="27" spans="2:3" x14ac:dyDescent="0.35">
      <c r="B27" s="22" t="s">
        <v>108</v>
      </c>
      <c r="C27" s="22" t="s">
        <v>461</v>
      </c>
    </row>
    <row r="28" spans="2:3" x14ac:dyDescent="0.35">
      <c r="B28" s="22" t="s">
        <v>106</v>
      </c>
      <c r="C28" s="22" t="s">
        <v>464</v>
      </c>
    </row>
    <row r="29" spans="2:3" x14ac:dyDescent="0.35">
      <c r="B29" s="22" t="s">
        <v>110</v>
      </c>
      <c r="C29" s="22" t="s">
        <v>464</v>
      </c>
    </row>
    <row r="30" spans="2:3" x14ac:dyDescent="0.35">
      <c r="B30" s="22" t="s">
        <v>133</v>
      </c>
      <c r="C30" s="22" t="s">
        <v>464</v>
      </c>
    </row>
    <row r="31" spans="2:3" x14ac:dyDescent="0.35">
      <c r="B31" s="22" t="s">
        <v>140</v>
      </c>
      <c r="C31" s="22" t="s">
        <v>464</v>
      </c>
    </row>
    <row r="32" spans="2:3" x14ac:dyDescent="0.35">
      <c r="B32" s="22" t="s">
        <v>136</v>
      </c>
      <c r="C32" s="22" t="s">
        <v>464</v>
      </c>
    </row>
    <row r="33" spans="2:4" x14ac:dyDescent="0.35">
      <c r="B33" s="22" t="s">
        <v>130</v>
      </c>
      <c r="C33" s="22" t="s">
        <v>464</v>
      </c>
    </row>
    <row r="34" spans="2:4" x14ac:dyDescent="0.35">
      <c r="B34" s="22" t="s">
        <v>27</v>
      </c>
      <c r="C34" s="22" t="s">
        <v>461</v>
      </c>
    </row>
    <row r="35" spans="2:4" x14ac:dyDescent="0.35">
      <c r="B35" s="22" t="s">
        <v>424</v>
      </c>
      <c r="C35" s="22" t="s">
        <v>464</v>
      </c>
    </row>
    <row r="36" spans="2:4" x14ac:dyDescent="0.35">
      <c r="B36" s="22" t="s">
        <v>55</v>
      </c>
      <c r="C36" s="22" t="s">
        <v>464</v>
      </c>
    </row>
    <row r="37" spans="2:4" x14ac:dyDescent="0.35">
      <c r="B37" s="22" t="s">
        <v>59</v>
      </c>
      <c r="C37" s="22" t="s">
        <v>464</v>
      </c>
    </row>
    <row r="38" spans="2:4" x14ac:dyDescent="0.35">
      <c r="B38" s="22" t="s">
        <v>216</v>
      </c>
      <c r="C38" s="22" t="s">
        <v>464</v>
      </c>
    </row>
    <row r="39" spans="2:4" x14ac:dyDescent="0.35">
      <c r="B39" s="22" t="s">
        <v>149</v>
      </c>
      <c r="C39" s="22" t="s">
        <v>459</v>
      </c>
      <c r="D39" s="1095" t="s">
        <v>1296</v>
      </c>
    </row>
    <row r="40" spans="2:4" x14ac:dyDescent="0.35">
      <c r="B40" s="22" t="s">
        <v>153</v>
      </c>
      <c r="C40" s="22" t="s">
        <v>464</v>
      </c>
    </row>
    <row r="41" spans="2:4" x14ac:dyDescent="0.35">
      <c r="B41" s="22" t="s">
        <v>143</v>
      </c>
      <c r="C41" s="22" t="s">
        <v>461</v>
      </c>
    </row>
    <row r="42" spans="2:4" x14ac:dyDescent="0.35">
      <c r="B42" s="22" t="s">
        <v>146</v>
      </c>
      <c r="C42" s="22" t="s">
        <v>464</v>
      </c>
    </row>
    <row r="43" spans="2:4" x14ac:dyDescent="0.35">
      <c r="B43" s="22" t="s">
        <v>156</v>
      </c>
      <c r="C43" s="22" t="s">
        <v>464</v>
      </c>
    </row>
    <row r="44" spans="2:4" x14ac:dyDescent="0.35">
      <c r="B44" s="22" t="s">
        <v>64</v>
      </c>
      <c r="C44" s="22" t="s">
        <v>464</v>
      </c>
    </row>
    <row r="45" spans="2:4" x14ac:dyDescent="0.35">
      <c r="B45" s="22" t="s">
        <v>163</v>
      </c>
      <c r="C45" s="22" t="s">
        <v>464</v>
      </c>
    </row>
    <row r="46" spans="2:4" x14ac:dyDescent="0.35">
      <c r="B46" s="22" t="s">
        <v>200</v>
      </c>
      <c r="C46" s="22" t="s">
        <v>459</v>
      </c>
    </row>
    <row r="47" spans="2:4" x14ac:dyDescent="0.35">
      <c r="B47" s="22" t="s">
        <v>197</v>
      </c>
      <c r="C47" s="22" t="s">
        <v>459</v>
      </c>
    </row>
    <row r="48" spans="2:4" x14ac:dyDescent="0.35">
      <c r="B48" s="22" t="s">
        <v>336</v>
      </c>
      <c r="C48" s="22" t="s">
        <v>464</v>
      </c>
    </row>
    <row r="49" spans="2:3" x14ac:dyDescent="0.35">
      <c r="B49" s="22" t="s">
        <v>205</v>
      </c>
      <c r="C49" s="22" t="s">
        <v>464</v>
      </c>
    </row>
    <row r="50" spans="2:3" x14ac:dyDescent="0.35">
      <c r="B50" s="22" t="s">
        <v>348</v>
      </c>
      <c r="C50" s="22" t="s">
        <v>461</v>
      </c>
    </row>
    <row r="51" spans="2:3" x14ac:dyDescent="0.35">
      <c r="B51" s="22" t="s">
        <v>349</v>
      </c>
      <c r="C51" s="22" t="s">
        <v>464</v>
      </c>
    </row>
    <row r="52" spans="2:3" x14ac:dyDescent="0.35">
      <c r="B52" s="22" t="s">
        <v>350</v>
      </c>
      <c r="C52" s="22" t="s">
        <v>464</v>
      </c>
    </row>
    <row r="53" spans="2:3" x14ac:dyDescent="0.35">
      <c r="B53" s="22" t="s">
        <v>222</v>
      </c>
      <c r="C53" s="22" t="s">
        <v>464</v>
      </c>
    </row>
    <row r="54" spans="2:3" x14ac:dyDescent="0.35">
      <c r="B54" s="22" t="s">
        <v>225</v>
      </c>
      <c r="C54" s="22" t="s">
        <v>464</v>
      </c>
    </row>
    <row r="55" spans="2:3" x14ac:dyDescent="0.35">
      <c r="B55" s="22" t="s">
        <v>227</v>
      </c>
      <c r="C55" s="22" t="s">
        <v>461</v>
      </c>
    </row>
    <row r="56" spans="2:3" x14ac:dyDescent="0.35">
      <c r="B56" s="317" t="s">
        <v>953</v>
      </c>
      <c r="C56" s="317" t="s">
        <v>967</v>
      </c>
    </row>
    <row r="57" spans="2:3" x14ac:dyDescent="0.35">
      <c r="B57" s="22" t="s">
        <v>291</v>
      </c>
      <c r="C57" s="22" t="s">
        <v>459</v>
      </c>
    </row>
    <row r="58" spans="2:3" x14ac:dyDescent="0.35">
      <c r="B58" s="22" t="s">
        <v>298</v>
      </c>
      <c r="C58" s="22" t="s">
        <v>464</v>
      </c>
    </row>
    <row r="59" spans="2:3" x14ac:dyDescent="0.35">
      <c r="B59" s="22" t="s">
        <v>351</v>
      </c>
      <c r="C59" s="22" t="s">
        <v>459</v>
      </c>
    </row>
    <row r="60" spans="2:3" x14ac:dyDescent="0.35">
      <c r="B60" s="22" t="s">
        <v>342</v>
      </c>
      <c r="C60" s="22" t="s">
        <v>459</v>
      </c>
    </row>
    <row r="61" spans="2:3" x14ac:dyDescent="0.35">
      <c r="B61" s="22" t="s">
        <v>306</v>
      </c>
      <c r="C61" s="22" t="s">
        <v>459</v>
      </c>
    </row>
    <row r="62" spans="2:3" x14ac:dyDescent="0.35">
      <c r="B62" s="22" t="s">
        <v>301</v>
      </c>
      <c r="C62" s="22" t="s">
        <v>464</v>
      </c>
    </row>
    <row r="63" spans="2:3" x14ac:dyDescent="0.35">
      <c r="B63" s="22" t="s">
        <v>465</v>
      </c>
      <c r="C63" s="22" t="s">
        <v>461</v>
      </c>
    </row>
    <row r="64" spans="2:3" x14ac:dyDescent="0.35">
      <c r="B64" s="22" t="s">
        <v>325</v>
      </c>
      <c r="C64" s="22" t="s">
        <v>464</v>
      </c>
    </row>
    <row r="65" spans="2:3" x14ac:dyDescent="0.35">
      <c r="B65" s="22" t="s">
        <v>323</v>
      </c>
      <c r="C65" s="22" t="s">
        <v>464</v>
      </c>
    </row>
    <row r="66" spans="2:3" x14ac:dyDescent="0.35">
      <c r="B66" s="22" t="s">
        <v>329</v>
      </c>
      <c r="C66" s="22" t="s">
        <v>459</v>
      </c>
    </row>
    <row r="67" spans="2:3" x14ac:dyDescent="0.35">
      <c r="B67" s="22" t="s">
        <v>168</v>
      </c>
      <c r="C67" s="22" t="s">
        <v>464</v>
      </c>
    </row>
    <row r="68" spans="2:3" x14ac:dyDescent="0.35">
      <c r="B68" s="22" t="s">
        <v>423</v>
      </c>
      <c r="C68" s="22" t="s">
        <v>464</v>
      </c>
    </row>
    <row r="69" spans="2:3" x14ac:dyDescent="0.35">
      <c r="B69" s="22" t="s">
        <v>86</v>
      </c>
      <c r="C69" s="22" t="s">
        <v>459</v>
      </c>
    </row>
    <row r="70" spans="2:3" x14ac:dyDescent="0.35">
      <c r="B70" s="22" t="s">
        <v>93</v>
      </c>
      <c r="C70" s="22" t="s">
        <v>464</v>
      </c>
    </row>
    <row r="71" spans="2:3" x14ac:dyDescent="0.35">
      <c r="B71" s="22" t="s">
        <v>77</v>
      </c>
      <c r="C71" s="22" t="s">
        <v>464</v>
      </c>
    </row>
    <row r="72" spans="2:3" x14ac:dyDescent="0.35">
      <c r="B72" s="22" t="s">
        <v>96</v>
      </c>
      <c r="C72" s="22" t="s">
        <v>464</v>
      </c>
    </row>
    <row r="73" spans="2:3" x14ac:dyDescent="0.35">
      <c r="B73" s="22" t="s">
        <v>347</v>
      </c>
      <c r="C73" s="22" t="s">
        <v>459</v>
      </c>
    </row>
    <row r="74" spans="2:3" x14ac:dyDescent="0.35">
      <c r="B74" s="22" t="s">
        <v>422</v>
      </c>
      <c r="C74" s="22" t="s">
        <v>464</v>
      </c>
    </row>
    <row r="75" spans="2:3" x14ac:dyDescent="0.35">
      <c r="B75" s="22" t="s">
        <v>278</v>
      </c>
      <c r="C75" s="22" t="s">
        <v>459</v>
      </c>
    </row>
    <row r="76" spans="2:3" x14ac:dyDescent="0.35">
      <c r="B76" s="22" t="s">
        <v>345</v>
      </c>
      <c r="C76" s="22" t="s">
        <v>464</v>
      </c>
    </row>
    <row r="77" spans="2:3" x14ac:dyDescent="0.35">
      <c r="B77" s="22" t="s">
        <v>346</v>
      </c>
      <c r="C77" s="22" t="s">
        <v>464</v>
      </c>
    </row>
    <row r="78" spans="2:3" x14ac:dyDescent="0.35">
      <c r="B78" s="22" t="s">
        <v>344</v>
      </c>
      <c r="C78" s="22" t="s">
        <v>461</v>
      </c>
    </row>
    <row r="79" spans="2:3" x14ac:dyDescent="0.35">
      <c r="B79" s="22" t="s">
        <v>52</v>
      </c>
      <c r="C79" s="22" t="s">
        <v>461</v>
      </c>
    </row>
    <row r="80" spans="2:3" x14ac:dyDescent="0.35">
      <c r="B80" s="22" t="s">
        <v>253</v>
      </c>
      <c r="C80" s="22" t="s">
        <v>464</v>
      </c>
    </row>
    <row r="81" spans="2:3" x14ac:dyDescent="0.35">
      <c r="B81" s="22" t="s">
        <v>70</v>
      </c>
      <c r="C81" s="22" t="s">
        <v>464</v>
      </c>
    </row>
  </sheetData>
  <autoFilter ref="B5:C81" xr:uid="{436CF7E9-8BBD-4F38-803F-6C4DE8B77A7B}">
    <sortState xmlns:xlrd2="http://schemas.microsoft.com/office/spreadsheetml/2017/richdata2" ref="B6:C77">
      <sortCondition descending="1" ref="C5:C77"/>
    </sortState>
  </autoFilter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46AF-76E9-4D9A-B841-6583A0C1A51F}">
  <sheetPr>
    <tabColor theme="4" tint="0.39997558519241921"/>
  </sheetPr>
  <dimension ref="B1:I24"/>
  <sheetViews>
    <sheetView topLeftCell="A10" zoomScale="130" zoomScaleNormal="130" workbookViewId="0">
      <selection activeCell="D22" sqref="D22:E22"/>
    </sheetView>
  </sheetViews>
  <sheetFormatPr defaultRowHeight="14.5" x14ac:dyDescent="0.35"/>
  <cols>
    <col min="1" max="1" width="8.7265625" style="4"/>
    <col min="2" max="2" width="14" style="4" customWidth="1"/>
    <col min="3" max="3" width="14.6328125" style="4" customWidth="1"/>
    <col min="4" max="4" width="11.08984375" style="4" customWidth="1"/>
    <col min="5" max="5" width="11.90625" style="4" customWidth="1"/>
    <col min="6" max="6" width="8.26953125" style="4" customWidth="1"/>
    <col min="7" max="7" width="7.7265625" style="4" customWidth="1"/>
    <col min="8" max="8" width="8.6328125" style="4" customWidth="1"/>
    <col min="9" max="9" width="10.1796875" style="4" customWidth="1"/>
    <col min="10" max="16384" width="8.7265625" style="4"/>
  </cols>
  <sheetData>
    <row r="1" spans="2:9" x14ac:dyDescent="0.35">
      <c r="B1" s="719" t="s">
        <v>932</v>
      </c>
    </row>
    <row r="2" spans="2:9" x14ac:dyDescent="0.35">
      <c r="B2" s="748" t="s">
        <v>968</v>
      </c>
    </row>
    <row r="3" spans="2:9" x14ac:dyDescent="0.35">
      <c r="B3" s="748"/>
    </row>
    <row r="4" spans="2:9" ht="15" thickBot="1" x14ac:dyDescent="0.4">
      <c r="B4" s="748"/>
    </row>
    <row r="5" spans="2:9" ht="29.5" thickBot="1" x14ac:dyDescent="0.4">
      <c r="B5" s="226" t="s">
        <v>473</v>
      </c>
      <c r="C5" s="227" t="s">
        <v>474</v>
      </c>
      <c r="D5" s="228" t="s">
        <v>475</v>
      </c>
      <c r="E5" s="228" t="s">
        <v>476</v>
      </c>
      <c r="F5" s="229" t="s">
        <v>477</v>
      </c>
      <c r="G5" s="229" t="s">
        <v>478</v>
      </c>
      <c r="H5" s="230" t="s">
        <v>479</v>
      </c>
      <c r="I5" s="230" t="s">
        <v>480</v>
      </c>
    </row>
    <row r="6" spans="2:9" ht="15" thickBot="1" x14ac:dyDescent="0.4">
      <c r="B6" s="231" t="s">
        <v>73</v>
      </c>
      <c r="C6" s="232" t="s">
        <v>481</v>
      </c>
      <c r="D6" s="233">
        <v>45689</v>
      </c>
      <c r="E6" s="234">
        <v>46022</v>
      </c>
      <c r="F6" s="235">
        <v>1</v>
      </c>
      <c r="G6" s="235">
        <v>1</v>
      </c>
      <c r="H6" s="236">
        <v>0</v>
      </c>
      <c r="I6" s="236">
        <v>0.7</v>
      </c>
    </row>
    <row r="7" spans="2:9" ht="15" thickBot="1" x14ac:dyDescent="0.4">
      <c r="B7" s="231" t="s">
        <v>31</v>
      </c>
      <c r="C7" s="232" t="s">
        <v>482</v>
      </c>
      <c r="D7" s="233">
        <v>45658</v>
      </c>
      <c r="E7" s="233">
        <v>45688</v>
      </c>
      <c r="F7" s="235">
        <v>1</v>
      </c>
      <c r="G7" s="235">
        <v>1</v>
      </c>
      <c r="H7" s="236">
        <v>0</v>
      </c>
      <c r="I7" s="236">
        <v>1</v>
      </c>
    </row>
    <row r="8" spans="2:9" ht="15" thickBot="1" x14ac:dyDescent="0.4">
      <c r="B8" s="231" t="s">
        <v>31</v>
      </c>
      <c r="C8" s="232" t="s">
        <v>482</v>
      </c>
      <c r="D8" s="233">
        <v>45627</v>
      </c>
      <c r="E8" s="233">
        <v>45657</v>
      </c>
      <c r="F8" s="235">
        <v>1</v>
      </c>
      <c r="G8" s="235">
        <v>1</v>
      </c>
      <c r="H8" s="236">
        <v>0.05</v>
      </c>
      <c r="I8" s="236">
        <v>0.95</v>
      </c>
    </row>
    <row r="9" spans="2:9" ht="15" thickBot="1" x14ac:dyDescent="0.4">
      <c r="B9" s="231" t="s">
        <v>31</v>
      </c>
      <c r="C9" s="232" t="s">
        <v>482</v>
      </c>
      <c r="D9" s="233">
        <v>45597</v>
      </c>
      <c r="E9" s="233">
        <v>45626</v>
      </c>
      <c r="F9" s="235">
        <v>1</v>
      </c>
      <c r="G9" s="235">
        <v>1</v>
      </c>
      <c r="H9" s="236">
        <v>0.1</v>
      </c>
      <c r="I9" s="236">
        <v>0.9</v>
      </c>
    </row>
    <row r="10" spans="2:9" ht="15" thickBot="1" x14ac:dyDescent="0.4">
      <c r="B10" s="231" t="s">
        <v>31</v>
      </c>
      <c r="C10" s="232" t="s">
        <v>482</v>
      </c>
      <c r="D10" s="233">
        <v>45566</v>
      </c>
      <c r="E10" s="233">
        <v>45596</v>
      </c>
      <c r="F10" s="235">
        <v>1</v>
      </c>
      <c r="G10" s="235">
        <v>1</v>
      </c>
      <c r="H10" s="236">
        <v>0.15</v>
      </c>
      <c r="I10" s="236">
        <v>0.85</v>
      </c>
    </row>
    <row r="11" spans="2:9" ht="15" thickBot="1" x14ac:dyDescent="0.4">
      <c r="B11" s="231" t="s">
        <v>31</v>
      </c>
      <c r="C11" s="232" t="s">
        <v>482</v>
      </c>
      <c r="D11" s="233">
        <v>45536</v>
      </c>
      <c r="E11" s="233">
        <v>45565</v>
      </c>
      <c r="F11" s="235">
        <v>1</v>
      </c>
      <c r="G11" s="235">
        <v>1</v>
      </c>
      <c r="H11" s="236">
        <v>0.2</v>
      </c>
      <c r="I11" s="236">
        <v>0.8</v>
      </c>
    </row>
    <row r="12" spans="2:9" ht="15" thickBot="1" x14ac:dyDescent="0.4">
      <c r="B12" s="231" t="s">
        <v>31</v>
      </c>
      <c r="C12" s="232" t="s">
        <v>482</v>
      </c>
      <c r="D12" s="233">
        <v>45505</v>
      </c>
      <c r="E12" s="233">
        <v>45535</v>
      </c>
      <c r="F12" s="235">
        <v>1</v>
      </c>
      <c r="G12" s="235">
        <v>1</v>
      </c>
      <c r="H12" s="236">
        <v>0.25</v>
      </c>
      <c r="I12" s="236">
        <v>0.75</v>
      </c>
    </row>
    <row r="13" spans="2:9" ht="15" thickBot="1" x14ac:dyDescent="0.4">
      <c r="B13" s="231" t="s">
        <v>31</v>
      </c>
      <c r="C13" s="232" t="s">
        <v>482</v>
      </c>
      <c r="D13" s="233">
        <v>45474</v>
      </c>
      <c r="E13" s="233">
        <v>45504</v>
      </c>
      <c r="F13" s="235">
        <v>1</v>
      </c>
      <c r="G13" s="235">
        <v>1</v>
      </c>
      <c r="H13" s="236">
        <v>0.3</v>
      </c>
      <c r="I13" s="236">
        <v>0.7</v>
      </c>
    </row>
    <row r="14" spans="2:9" ht="15" thickBot="1" x14ac:dyDescent="0.4">
      <c r="B14" s="231" t="s">
        <v>31</v>
      </c>
      <c r="C14" s="232" t="s">
        <v>482</v>
      </c>
      <c r="D14" s="233">
        <v>45444</v>
      </c>
      <c r="E14" s="233">
        <v>45473</v>
      </c>
      <c r="F14" s="235">
        <v>1</v>
      </c>
      <c r="G14" s="235">
        <v>1</v>
      </c>
      <c r="H14" s="236">
        <v>0.35</v>
      </c>
      <c r="I14" s="236">
        <v>0.65</v>
      </c>
    </row>
    <row r="15" spans="2:9" ht="15" thickBot="1" x14ac:dyDescent="0.4">
      <c r="B15" s="231" t="s">
        <v>31</v>
      </c>
      <c r="C15" s="232" t="s">
        <v>482</v>
      </c>
      <c r="D15" s="233">
        <v>45413</v>
      </c>
      <c r="E15" s="233">
        <v>45443</v>
      </c>
      <c r="F15" s="235">
        <v>1</v>
      </c>
      <c r="G15" s="235">
        <v>1</v>
      </c>
      <c r="H15" s="236">
        <v>0.4</v>
      </c>
      <c r="I15" s="236">
        <v>0.6</v>
      </c>
    </row>
    <row r="16" spans="2:9" ht="15" thickBot="1" x14ac:dyDescent="0.4">
      <c r="B16" s="231" t="s">
        <v>31</v>
      </c>
      <c r="C16" s="232" t="s">
        <v>482</v>
      </c>
      <c r="D16" s="233">
        <v>45383</v>
      </c>
      <c r="E16" s="233">
        <v>45412</v>
      </c>
      <c r="F16" s="235">
        <v>1</v>
      </c>
      <c r="G16" s="235">
        <v>1</v>
      </c>
      <c r="H16" s="236">
        <v>0.45</v>
      </c>
      <c r="I16" s="236">
        <v>0.55000000000000004</v>
      </c>
    </row>
    <row r="17" spans="2:9" ht="15" thickBot="1" x14ac:dyDescent="0.4">
      <c r="B17" s="231" t="s">
        <v>31</v>
      </c>
      <c r="C17" s="232" t="s">
        <v>482</v>
      </c>
      <c r="D17" s="233">
        <v>45352</v>
      </c>
      <c r="E17" s="233">
        <v>45382</v>
      </c>
      <c r="F17" s="235">
        <v>1</v>
      </c>
      <c r="G17" s="235">
        <v>1</v>
      </c>
      <c r="H17" s="236">
        <v>0.5</v>
      </c>
      <c r="I17" s="236">
        <v>0.5</v>
      </c>
    </row>
    <row r="18" spans="2:9" ht="15" thickBot="1" x14ac:dyDescent="0.4">
      <c r="B18" s="231" t="s">
        <v>31</v>
      </c>
      <c r="C18" s="232" t="s">
        <v>482</v>
      </c>
      <c r="D18" s="233">
        <v>45323</v>
      </c>
      <c r="E18" s="233">
        <v>45351</v>
      </c>
      <c r="F18" s="235">
        <v>1</v>
      </c>
      <c r="G18" s="235">
        <v>1</v>
      </c>
      <c r="H18" s="236">
        <v>0.55000000000000004</v>
      </c>
      <c r="I18" s="236">
        <v>0.45</v>
      </c>
    </row>
    <row r="19" spans="2:9" ht="15" thickBot="1" x14ac:dyDescent="0.4">
      <c r="B19" s="231" t="s">
        <v>31</v>
      </c>
      <c r="C19" s="232" t="s">
        <v>482</v>
      </c>
      <c r="D19" s="233">
        <v>45292</v>
      </c>
      <c r="E19" s="233">
        <v>45322</v>
      </c>
      <c r="F19" s="235">
        <v>1</v>
      </c>
      <c r="G19" s="235">
        <v>1</v>
      </c>
      <c r="H19" s="236">
        <v>0.6</v>
      </c>
      <c r="I19" s="236">
        <v>0.4</v>
      </c>
    </row>
    <row r="20" spans="2:9" ht="15" thickBot="1" x14ac:dyDescent="0.4">
      <c r="B20" s="231" t="s">
        <v>31</v>
      </c>
      <c r="C20" s="232" t="s">
        <v>482</v>
      </c>
      <c r="D20" s="233">
        <v>45231</v>
      </c>
      <c r="E20" s="233">
        <v>45291</v>
      </c>
      <c r="F20" s="235">
        <v>1</v>
      </c>
      <c r="G20" s="235">
        <v>1</v>
      </c>
      <c r="H20" s="236">
        <v>0.65</v>
      </c>
      <c r="I20" s="236">
        <v>0.35</v>
      </c>
    </row>
    <row r="21" spans="2:9" ht="15" thickBot="1" x14ac:dyDescent="0.4">
      <c r="B21" s="231" t="s">
        <v>80</v>
      </c>
      <c r="C21" s="232" t="s">
        <v>483</v>
      </c>
      <c r="D21" s="233">
        <v>44743</v>
      </c>
      <c r="E21" s="233">
        <v>45230</v>
      </c>
      <c r="F21" s="235">
        <v>1</v>
      </c>
      <c r="G21" s="235">
        <v>0.8</v>
      </c>
      <c r="H21" s="236">
        <v>0.65</v>
      </c>
      <c r="I21" s="236">
        <v>0.35</v>
      </c>
    </row>
    <row r="22" spans="2:9" ht="15" thickBot="1" x14ac:dyDescent="0.4">
      <c r="B22" s="231" t="s">
        <v>42</v>
      </c>
      <c r="C22" s="232" t="s">
        <v>484</v>
      </c>
      <c r="D22" s="233">
        <v>44197</v>
      </c>
      <c r="E22" s="233">
        <v>44742</v>
      </c>
      <c r="F22" s="235">
        <v>0.8</v>
      </c>
      <c r="G22" s="235">
        <v>0.6</v>
      </c>
      <c r="H22" s="236">
        <v>0.65</v>
      </c>
      <c r="I22" s="236">
        <v>0.35</v>
      </c>
    </row>
    <row r="23" spans="2:9" ht="15" thickBot="1" x14ac:dyDescent="0.4">
      <c r="B23" s="231" t="s">
        <v>47</v>
      </c>
      <c r="C23" s="232" t="s">
        <v>485</v>
      </c>
      <c r="D23" s="233">
        <v>43101</v>
      </c>
      <c r="E23" s="233">
        <v>44196</v>
      </c>
      <c r="F23" s="235">
        <v>0.3</v>
      </c>
      <c r="G23" s="235">
        <v>0.3</v>
      </c>
      <c r="H23" s="236">
        <v>0.65</v>
      </c>
      <c r="I23" s="236">
        <v>0.35</v>
      </c>
    </row>
    <row r="24" spans="2:9" ht="15" thickBot="1" x14ac:dyDescent="0.4">
      <c r="B24" s="231" t="s">
        <v>98</v>
      </c>
      <c r="C24" s="232" t="s">
        <v>486</v>
      </c>
      <c r="D24" s="234">
        <v>36526</v>
      </c>
      <c r="E24" s="233">
        <v>43100</v>
      </c>
      <c r="F24" s="235">
        <v>0.15</v>
      </c>
      <c r="G24" s="235">
        <v>0.15</v>
      </c>
      <c r="H24" s="236">
        <v>0.65</v>
      </c>
      <c r="I24" s="236">
        <v>0.35</v>
      </c>
    </row>
  </sheetData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99CE-4F9B-4E6D-871D-E2F4AC8BBD08}">
  <sheetPr>
    <tabColor theme="4" tint="0.39997558519241921"/>
  </sheetPr>
  <dimension ref="K2:W25"/>
  <sheetViews>
    <sheetView topLeftCell="J1" zoomScale="120" zoomScaleNormal="120" workbookViewId="0">
      <selection activeCell="L17" sqref="L17"/>
    </sheetView>
  </sheetViews>
  <sheetFormatPr defaultRowHeight="12" x14ac:dyDescent="0.3"/>
  <cols>
    <col min="1" max="10" width="8.7265625" style="299"/>
    <col min="11" max="11" width="15.6328125" style="299" bestFit="1" customWidth="1"/>
    <col min="12" max="12" width="21.1796875" style="299" bestFit="1" customWidth="1"/>
    <col min="13" max="13" width="8.7265625" style="299"/>
    <col min="14" max="14" width="34.6328125" style="299" bestFit="1" customWidth="1"/>
    <col min="15" max="15" width="43.26953125" style="299" customWidth="1"/>
    <col min="16" max="17" width="5.54296875" style="300" customWidth="1"/>
    <col min="18" max="18" width="8.7265625" style="299"/>
    <col min="19" max="19" width="50.6328125" style="299" bestFit="1" customWidth="1"/>
    <col min="20" max="20" width="15.26953125" style="299" bestFit="1" customWidth="1"/>
    <col min="21" max="21" width="7.453125" style="299" bestFit="1" customWidth="1"/>
    <col min="22" max="22" width="6.08984375" style="299" bestFit="1" customWidth="1"/>
    <col min="23" max="23" width="10.7265625" style="299" bestFit="1" customWidth="1"/>
    <col min="24" max="16384" width="8.7265625" style="299"/>
  </cols>
  <sheetData>
    <row r="2" spans="11:23" x14ac:dyDescent="0.3">
      <c r="K2" s="298" t="s">
        <v>640</v>
      </c>
      <c r="L2" s="803" t="s">
        <v>1103</v>
      </c>
    </row>
    <row r="4" spans="11:23" x14ac:dyDescent="0.3">
      <c r="K4" s="301" t="s">
        <v>355</v>
      </c>
      <c r="L4" s="301" t="s">
        <v>641</v>
      </c>
      <c r="M4" s="301" t="s">
        <v>642</v>
      </c>
      <c r="N4" s="301" t="s">
        <v>643</v>
      </c>
      <c r="O4" s="302" t="s">
        <v>644</v>
      </c>
      <c r="P4" s="303" t="s">
        <v>363</v>
      </c>
      <c r="Q4" s="303"/>
      <c r="R4" s="298"/>
    </row>
    <row r="5" spans="11:23" ht="14.5" x14ac:dyDescent="0.35">
      <c r="K5" s="304" t="s">
        <v>645</v>
      </c>
      <c r="L5" s="304" t="s">
        <v>646</v>
      </c>
      <c r="M5" s="304" t="s">
        <v>647</v>
      </c>
      <c r="N5" s="304" t="s">
        <v>648</v>
      </c>
      <c r="O5" s="305" t="s">
        <v>52</v>
      </c>
      <c r="P5" s="300">
        <v>1</v>
      </c>
      <c r="S5" s="811" t="s">
        <v>649</v>
      </c>
      <c r="T5" s="811" t="s">
        <v>353</v>
      </c>
      <c r="U5"/>
      <c r="V5"/>
      <c r="W5"/>
    </row>
    <row r="6" spans="11:23" ht="14.5" x14ac:dyDescent="0.35">
      <c r="K6" s="306" t="s">
        <v>469</v>
      </c>
      <c r="L6" s="306" t="s">
        <v>650</v>
      </c>
      <c r="M6" s="306" t="s">
        <v>651</v>
      </c>
      <c r="N6" s="306" t="s">
        <v>588</v>
      </c>
      <c r="O6" s="306" t="s">
        <v>233</v>
      </c>
      <c r="P6" s="300">
        <v>1</v>
      </c>
      <c r="Q6" s="300" t="s">
        <v>977</v>
      </c>
      <c r="S6" s="811" t="s">
        <v>773</v>
      </c>
      <c r="T6" t="s">
        <v>588</v>
      </c>
      <c r="U6" t="s">
        <v>648</v>
      </c>
      <c r="V6" t="s">
        <v>585</v>
      </c>
      <c r="W6" t="s">
        <v>352</v>
      </c>
    </row>
    <row r="7" spans="11:23" ht="14.5" x14ac:dyDescent="0.35">
      <c r="K7" s="306" t="s">
        <v>469</v>
      </c>
      <c r="L7" s="306" t="s">
        <v>652</v>
      </c>
      <c r="M7" s="306" t="s">
        <v>653</v>
      </c>
      <c r="N7" s="306" t="s">
        <v>588</v>
      </c>
      <c r="O7" s="306" t="s">
        <v>233</v>
      </c>
      <c r="P7" s="300">
        <v>0</v>
      </c>
      <c r="S7" s="1" t="s">
        <v>442</v>
      </c>
      <c r="T7" s="812">
        <v>1</v>
      </c>
      <c r="U7" s="812"/>
      <c r="V7" s="812"/>
      <c r="W7" s="812">
        <v>1</v>
      </c>
    </row>
    <row r="8" spans="11:23" ht="14.5" x14ac:dyDescent="0.35">
      <c r="K8" s="306" t="s">
        <v>469</v>
      </c>
      <c r="L8" s="306" t="s">
        <v>654</v>
      </c>
      <c r="M8" s="306" t="s">
        <v>655</v>
      </c>
      <c r="N8" s="306" t="s">
        <v>588</v>
      </c>
      <c r="O8" s="306" t="s">
        <v>278</v>
      </c>
      <c r="P8" s="300">
        <v>1</v>
      </c>
      <c r="Q8" s="300" t="s">
        <v>977</v>
      </c>
      <c r="S8" s="1" t="s">
        <v>410</v>
      </c>
      <c r="T8" s="812">
        <v>1</v>
      </c>
      <c r="U8" s="812"/>
      <c r="V8" s="812"/>
      <c r="W8" s="812">
        <v>1</v>
      </c>
    </row>
    <row r="9" spans="11:23" ht="14.5" x14ac:dyDescent="0.35">
      <c r="K9" s="307" t="s">
        <v>468</v>
      </c>
      <c r="L9" s="307" t="s">
        <v>656</v>
      </c>
      <c r="M9" s="307" t="s">
        <v>657</v>
      </c>
      <c r="N9" s="307" t="s">
        <v>588</v>
      </c>
      <c r="O9" s="307" t="s">
        <v>410</v>
      </c>
      <c r="P9" s="300">
        <v>1</v>
      </c>
      <c r="S9" s="1" t="s">
        <v>400</v>
      </c>
      <c r="T9" s="812">
        <v>1</v>
      </c>
      <c r="U9" s="812"/>
      <c r="V9" s="812"/>
      <c r="W9" s="812">
        <v>1</v>
      </c>
    </row>
    <row r="10" spans="11:23" ht="14.5" x14ac:dyDescent="0.35">
      <c r="K10" s="307" t="s">
        <v>468</v>
      </c>
      <c r="L10" s="307" t="s">
        <v>658</v>
      </c>
      <c r="M10" s="307" t="s">
        <v>659</v>
      </c>
      <c r="N10" s="307" t="s">
        <v>588</v>
      </c>
      <c r="O10" s="307" t="s">
        <v>400</v>
      </c>
      <c r="P10" s="300">
        <v>1</v>
      </c>
      <c r="S10" s="1" t="s">
        <v>233</v>
      </c>
      <c r="T10" s="812">
        <v>1</v>
      </c>
      <c r="U10" s="812"/>
      <c r="V10" s="812"/>
      <c r="W10" s="812">
        <v>1</v>
      </c>
    </row>
    <row r="11" spans="11:23" ht="14.5" x14ac:dyDescent="0.35">
      <c r="K11" s="307" t="s">
        <v>468</v>
      </c>
      <c r="L11" s="307" t="s">
        <v>660</v>
      </c>
      <c r="M11" s="307" t="s">
        <v>647</v>
      </c>
      <c r="N11" s="307" t="s">
        <v>588</v>
      </c>
      <c r="O11" s="308" t="s">
        <v>443</v>
      </c>
      <c r="P11" s="300">
        <v>1</v>
      </c>
      <c r="S11" s="1" t="s">
        <v>278</v>
      </c>
      <c r="T11" s="812">
        <v>1</v>
      </c>
      <c r="U11" s="812"/>
      <c r="V11" s="812"/>
      <c r="W11" s="812">
        <v>1</v>
      </c>
    </row>
    <row r="12" spans="11:23" ht="14.5" x14ac:dyDescent="0.35">
      <c r="K12" s="307" t="s">
        <v>468</v>
      </c>
      <c r="L12" s="307" t="s">
        <v>661</v>
      </c>
      <c r="M12" s="307" t="s">
        <v>651</v>
      </c>
      <c r="N12" s="307" t="s">
        <v>588</v>
      </c>
      <c r="O12" s="307" t="s">
        <v>400</v>
      </c>
      <c r="P12" s="300">
        <v>0</v>
      </c>
      <c r="S12" s="1" t="s">
        <v>27</v>
      </c>
      <c r="T12" s="812"/>
      <c r="U12" s="812"/>
      <c r="V12" s="812">
        <v>1</v>
      </c>
      <c r="W12" s="812">
        <v>1</v>
      </c>
    </row>
    <row r="13" spans="11:23" ht="14.5" x14ac:dyDescent="0.35">
      <c r="K13" s="307" t="s">
        <v>468</v>
      </c>
      <c r="L13" s="307" t="s">
        <v>662</v>
      </c>
      <c r="M13" s="307" t="s">
        <v>655</v>
      </c>
      <c r="N13" s="307" t="s">
        <v>588</v>
      </c>
      <c r="O13" s="307" t="s">
        <v>442</v>
      </c>
      <c r="P13" s="300">
        <v>1</v>
      </c>
      <c r="S13" s="1" t="s">
        <v>413</v>
      </c>
      <c r="T13" s="812">
        <v>1</v>
      </c>
      <c r="U13" s="812"/>
      <c r="V13" s="812"/>
      <c r="W13" s="812">
        <v>1</v>
      </c>
    </row>
    <row r="14" spans="11:23" ht="14.5" x14ac:dyDescent="0.35">
      <c r="K14" s="309" t="s">
        <v>43</v>
      </c>
      <c r="L14" s="309" t="s">
        <v>663</v>
      </c>
      <c r="M14" s="309" t="s">
        <v>664</v>
      </c>
      <c r="N14" s="309" t="s">
        <v>588</v>
      </c>
      <c r="O14" s="309" t="s">
        <v>362</v>
      </c>
      <c r="P14" s="300">
        <v>1</v>
      </c>
      <c r="Q14" s="300" t="s">
        <v>977</v>
      </c>
      <c r="S14" s="1" t="s">
        <v>362</v>
      </c>
      <c r="T14" s="812">
        <v>1</v>
      </c>
      <c r="U14" s="812"/>
      <c r="V14" s="812"/>
      <c r="W14" s="812">
        <v>1</v>
      </c>
    </row>
    <row r="15" spans="11:23" ht="14.5" x14ac:dyDescent="0.35">
      <c r="K15" s="309" t="s">
        <v>43</v>
      </c>
      <c r="L15" s="309" t="s">
        <v>665</v>
      </c>
      <c r="M15" s="309" t="s">
        <v>666</v>
      </c>
      <c r="N15" s="309" t="s">
        <v>585</v>
      </c>
      <c r="O15" s="309" t="s">
        <v>27</v>
      </c>
      <c r="P15" s="300">
        <v>1</v>
      </c>
      <c r="Q15" s="300" t="s">
        <v>977</v>
      </c>
      <c r="S15" s="1" t="s">
        <v>444</v>
      </c>
      <c r="T15" s="812">
        <v>2</v>
      </c>
      <c r="U15" s="812"/>
      <c r="V15" s="812"/>
      <c r="W15" s="812">
        <v>2</v>
      </c>
    </row>
    <row r="16" spans="11:23" ht="14.5" x14ac:dyDescent="0.35">
      <c r="K16" s="309" t="s">
        <v>43</v>
      </c>
      <c r="L16" s="309" t="s">
        <v>667</v>
      </c>
      <c r="M16" s="309" t="s">
        <v>659</v>
      </c>
      <c r="N16" s="309" t="s">
        <v>588</v>
      </c>
      <c r="O16" s="309" t="s">
        <v>413</v>
      </c>
      <c r="P16" s="300">
        <v>1</v>
      </c>
      <c r="Q16" s="300" t="s">
        <v>977</v>
      </c>
      <c r="S16" s="1" t="s">
        <v>192</v>
      </c>
      <c r="T16" s="812"/>
      <c r="U16" s="812"/>
      <c r="V16" s="812">
        <v>1</v>
      </c>
      <c r="W16" s="812">
        <v>1</v>
      </c>
    </row>
    <row r="17" spans="11:23" ht="14.5" x14ac:dyDescent="0.35">
      <c r="K17" s="309" t="s">
        <v>43</v>
      </c>
      <c r="L17" s="309" t="s">
        <v>668</v>
      </c>
      <c r="M17" s="309" t="s">
        <v>669</v>
      </c>
      <c r="N17" s="309" t="s">
        <v>588</v>
      </c>
      <c r="O17" s="310" t="s">
        <v>444</v>
      </c>
      <c r="P17" s="300">
        <v>1</v>
      </c>
      <c r="Q17" s="300" t="s">
        <v>977</v>
      </c>
      <c r="S17" s="1" t="s">
        <v>414</v>
      </c>
      <c r="T17" s="812">
        <v>1</v>
      </c>
      <c r="U17" s="812"/>
      <c r="V17" s="812"/>
      <c r="W17" s="812">
        <v>1</v>
      </c>
    </row>
    <row r="18" spans="11:23" ht="14.5" x14ac:dyDescent="0.35">
      <c r="K18" s="309" t="s">
        <v>43</v>
      </c>
      <c r="L18" s="309" t="s">
        <v>670</v>
      </c>
      <c r="M18" s="309" t="s">
        <v>669</v>
      </c>
      <c r="N18" s="309" t="s">
        <v>588</v>
      </c>
      <c r="O18" s="310" t="s">
        <v>444</v>
      </c>
      <c r="P18" s="300">
        <v>1</v>
      </c>
      <c r="Q18" s="300" t="s">
        <v>977</v>
      </c>
      <c r="S18" s="1" t="s">
        <v>443</v>
      </c>
      <c r="T18" s="812">
        <v>1</v>
      </c>
      <c r="U18" s="812"/>
      <c r="V18" s="812"/>
      <c r="W18" s="812">
        <v>1</v>
      </c>
    </row>
    <row r="19" spans="11:23" ht="14.5" x14ac:dyDescent="0.35">
      <c r="K19" s="309" t="s">
        <v>43</v>
      </c>
      <c r="L19" s="309" t="s">
        <v>671</v>
      </c>
      <c r="M19" s="309" t="s">
        <v>669</v>
      </c>
      <c r="N19" s="309" t="s">
        <v>588</v>
      </c>
      <c r="O19" s="310" t="s">
        <v>444</v>
      </c>
      <c r="P19" s="300">
        <v>0</v>
      </c>
      <c r="S19" s="1" t="s">
        <v>52</v>
      </c>
      <c r="T19" s="812"/>
      <c r="U19" s="812">
        <v>1</v>
      </c>
      <c r="V19" s="812"/>
      <c r="W19" s="812">
        <v>1</v>
      </c>
    </row>
    <row r="20" spans="11:23" ht="14.5" x14ac:dyDescent="0.35">
      <c r="K20" s="309" t="s">
        <v>43</v>
      </c>
      <c r="L20" s="309" t="s">
        <v>672</v>
      </c>
      <c r="M20" s="309" t="s">
        <v>673</v>
      </c>
      <c r="N20" s="309" t="s">
        <v>585</v>
      </c>
      <c r="O20" s="309" t="s">
        <v>192</v>
      </c>
      <c r="P20" s="300">
        <v>1</v>
      </c>
      <c r="S20" s="1" t="s">
        <v>122</v>
      </c>
      <c r="T20" s="812">
        <v>1</v>
      </c>
      <c r="U20" s="812"/>
      <c r="V20" s="812"/>
      <c r="W20" s="812">
        <v>1</v>
      </c>
    </row>
    <row r="21" spans="11:23" ht="14.5" x14ac:dyDescent="0.35">
      <c r="K21" s="309" t="s">
        <v>43</v>
      </c>
      <c r="L21" s="309" t="s">
        <v>674</v>
      </c>
      <c r="M21" s="309" t="s">
        <v>655</v>
      </c>
      <c r="N21" s="309" t="s">
        <v>588</v>
      </c>
      <c r="O21" s="309" t="s">
        <v>414</v>
      </c>
      <c r="P21" s="300">
        <v>1</v>
      </c>
      <c r="S21" s="1" t="s">
        <v>352</v>
      </c>
      <c r="T21" s="812">
        <v>12</v>
      </c>
      <c r="U21" s="812">
        <v>1</v>
      </c>
      <c r="V21" s="812">
        <v>2</v>
      </c>
      <c r="W21" s="812">
        <v>15</v>
      </c>
    </row>
    <row r="22" spans="11:23" ht="14.5" x14ac:dyDescent="0.35">
      <c r="K22" s="309" t="s">
        <v>43</v>
      </c>
      <c r="L22" s="309" t="s">
        <v>1104</v>
      </c>
      <c r="M22" s="309" t="s">
        <v>1105</v>
      </c>
      <c r="N22" s="309" t="s">
        <v>588</v>
      </c>
      <c r="O22" s="309" t="s">
        <v>122</v>
      </c>
      <c r="P22" s="300">
        <v>1</v>
      </c>
      <c r="Q22" s="810" t="s">
        <v>1155</v>
      </c>
      <c r="S22"/>
      <c r="T22"/>
      <c r="U22"/>
    </row>
    <row r="24" spans="11:23" x14ac:dyDescent="0.3">
      <c r="L24" s="299" t="s">
        <v>1252</v>
      </c>
      <c r="M24" s="299" t="s">
        <v>244</v>
      </c>
      <c r="O24" s="300"/>
    </row>
    <row r="25" spans="11:23" x14ac:dyDescent="0.3">
      <c r="O25" s="300"/>
    </row>
  </sheetData>
  <pageMargins left="0.7" right="0.7" top="0.75" bottom="0.75" header="0.3" footer="0.3"/>
  <pageSetup orientation="portrait" horizontalDpi="1200" verticalDpi="1200" r:id="rId2"/>
  <headerFooter>
    <oddHeader>&amp;L&amp;"Calibri"&amp;12&amp;K8E6A00Confidential&amp;1#</oddHeader>
  </headerFooter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8855-8D6C-412D-845F-FCF930DA9959}">
  <sheetPr>
    <tabColor theme="4" tint="0.39997558519241921"/>
  </sheetPr>
  <dimension ref="A1:AC82"/>
  <sheetViews>
    <sheetView topLeftCell="A22" zoomScale="85" zoomScaleNormal="85" workbookViewId="0">
      <selection activeCell="A66" sqref="A66:XFD66"/>
    </sheetView>
  </sheetViews>
  <sheetFormatPr defaultRowHeight="14.5" x14ac:dyDescent="0.35"/>
  <cols>
    <col min="1" max="1" width="21.36328125" style="4" bestFit="1" customWidth="1"/>
    <col min="2" max="2" width="20.7265625" style="4" customWidth="1"/>
    <col min="3" max="3" width="24.7265625" style="4" bestFit="1" customWidth="1"/>
    <col min="4" max="4" width="50.54296875" style="4" customWidth="1"/>
    <col min="5" max="5" width="44.7265625" style="4" customWidth="1"/>
    <col min="6" max="6" width="32" style="182" customWidth="1"/>
    <col min="7" max="7" width="11.81640625" style="4" customWidth="1"/>
    <col min="8" max="8" width="17" style="4" customWidth="1"/>
    <col min="9" max="9" width="30.08984375" style="4" customWidth="1"/>
    <col min="10" max="10" width="26.453125" style="4" customWidth="1"/>
    <col min="11" max="11" width="53.54296875" style="4" customWidth="1"/>
    <col min="12" max="12" width="51.453125" style="4" customWidth="1"/>
    <col min="13" max="17" width="8.7265625" style="4"/>
    <col min="18" max="18" width="18.453125" style="4" customWidth="1"/>
    <col min="19" max="19" width="40.54296875" style="4" customWidth="1"/>
    <col min="20" max="20" width="8.7265625" style="4"/>
    <col min="21" max="21" width="24.81640625" style="4" customWidth="1"/>
    <col min="22" max="22" width="37.54296875" style="4" customWidth="1"/>
    <col min="23" max="23" width="18" style="4" customWidth="1"/>
    <col min="24" max="24" width="24.54296875" style="4" customWidth="1"/>
    <col min="25" max="26" width="8.7265625" style="4"/>
    <col min="27" max="27" width="28.453125" style="4" bestFit="1" customWidth="1"/>
    <col min="28" max="28" width="27.26953125" style="4" bestFit="1" customWidth="1"/>
    <col min="29" max="29" width="57.81640625" style="4" bestFit="1" customWidth="1"/>
    <col min="30" max="16384" width="8.7265625" style="4"/>
  </cols>
  <sheetData>
    <row r="1" spans="1:29" x14ac:dyDescent="0.35">
      <c r="B1" s="719" t="s">
        <v>932</v>
      </c>
    </row>
    <row r="2" spans="1:29" x14ac:dyDescent="0.35">
      <c r="B2" s="748" t="s">
        <v>1099</v>
      </c>
    </row>
    <row r="4" spans="1:29" ht="16" thickBot="1" x14ac:dyDescent="0.4">
      <c r="I4" s="781" t="s">
        <v>1098</v>
      </c>
      <c r="R4" s="287" t="s">
        <v>1092</v>
      </c>
      <c r="AA4" s="287" t="s">
        <v>1097</v>
      </c>
    </row>
    <row r="5" spans="1:29" ht="18" customHeight="1" thickBot="1" x14ac:dyDescent="0.4">
      <c r="B5" s="151" t="s">
        <v>355</v>
      </c>
      <c r="C5" s="171" t="s">
        <v>0</v>
      </c>
      <c r="D5" s="171" t="s">
        <v>591</v>
      </c>
      <c r="E5" s="152" t="s">
        <v>357</v>
      </c>
      <c r="I5" s="735" t="s">
        <v>355</v>
      </c>
      <c r="J5" s="736" t="s">
        <v>0</v>
      </c>
      <c r="K5" s="736" t="s">
        <v>591</v>
      </c>
      <c r="L5" s="737" t="s">
        <v>357</v>
      </c>
      <c r="R5" s="773" t="s">
        <v>970</v>
      </c>
      <c r="S5" s="773" t="s">
        <v>971</v>
      </c>
      <c r="T5" s="768"/>
      <c r="U5" s="773" t="s">
        <v>972</v>
      </c>
      <c r="V5" s="774" t="s">
        <v>973</v>
      </c>
      <c r="W5" s="775" t="s">
        <v>355</v>
      </c>
      <c r="X5" s="776" t="s">
        <v>974</v>
      </c>
      <c r="AA5" s="777" t="s">
        <v>441</v>
      </c>
      <c r="AB5" s="778" t="s">
        <v>593</v>
      </c>
      <c r="AC5" s="778" t="s">
        <v>0</v>
      </c>
    </row>
    <row r="6" spans="1:29" ht="18" customHeight="1" thickBot="1" x14ac:dyDescent="0.4">
      <c r="A6" s="4" t="s">
        <v>914</v>
      </c>
      <c r="B6" s="311" t="str">
        <f>INDEX('Raw Forecasting NPS Data'!$C$6:$C$166,MATCH('MCODE Final Mapping'!$D6,'Raw Forecasting NPS Data'!$I$6:$I$166,0))</f>
        <v>Keytruda</v>
      </c>
      <c r="C6" s="312" t="str">
        <f>INDEX('Raw Forecasting NPS Data'!$D$6:$D$166,MATCH('MCODE Final Mapping'!$D6,'Raw Forecasting NPS Data'!$I$6:$I$166,0))</f>
        <v>Biliary</v>
      </c>
      <c r="D6" s="313" t="s">
        <v>27</v>
      </c>
      <c r="E6" s="314" t="s">
        <v>1133</v>
      </c>
      <c r="F6" s="182" t="s">
        <v>676</v>
      </c>
      <c r="I6" s="142" t="s">
        <v>43</v>
      </c>
      <c r="J6" s="145" t="s">
        <v>22</v>
      </c>
      <c r="K6" s="145" t="s">
        <v>27</v>
      </c>
      <c r="L6" s="143" t="s">
        <v>1133</v>
      </c>
      <c r="R6" s="9" t="s">
        <v>975</v>
      </c>
      <c r="S6" s="772" t="s">
        <v>976</v>
      </c>
      <c r="T6" s="768"/>
      <c r="U6" s="767" t="s">
        <v>977</v>
      </c>
      <c r="V6" s="769"/>
      <c r="W6" s="770" t="s">
        <v>370</v>
      </c>
      <c r="X6" s="771" t="s">
        <v>978</v>
      </c>
      <c r="AA6" s="779" t="s">
        <v>1024</v>
      </c>
      <c r="AB6" s="780" t="s">
        <v>946</v>
      </c>
      <c r="AC6" s="780" t="s">
        <v>358</v>
      </c>
    </row>
    <row r="7" spans="1:29" ht="18" customHeight="1" thickBot="1" x14ac:dyDescent="0.4">
      <c r="A7" s="4" t="s">
        <v>915</v>
      </c>
      <c r="B7" s="281" t="str">
        <f>INDEX('Raw Forecasting NPS Data'!$C$6:$C$166,MATCH('MCODE Final Mapping'!$D7,'Raw Forecasting NPS Data'!$I$6:$I$166,0))</f>
        <v>Keytruda</v>
      </c>
      <c r="C7" s="282" t="str">
        <f>INDEX('Raw Forecasting NPS Data'!$D$6:$D$166,MATCH('MCODE Final Mapping'!$D7,'Raw Forecasting NPS Data'!$I$6:$I$166,0))</f>
        <v>Cervical</v>
      </c>
      <c r="D7" s="283" t="s">
        <v>344</v>
      </c>
      <c r="E7" s="284" t="s">
        <v>1134</v>
      </c>
      <c r="F7" s="182" t="s">
        <v>677</v>
      </c>
      <c r="I7" s="130" t="s">
        <v>43</v>
      </c>
      <c r="J7" s="22" t="s">
        <v>33</v>
      </c>
      <c r="K7" s="22" t="s">
        <v>344</v>
      </c>
      <c r="L7" s="140" t="s">
        <v>1134</v>
      </c>
      <c r="R7" s="9" t="s">
        <v>979</v>
      </c>
      <c r="S7" s="772" t="s">
        <v>980</v>
      </c>
      <c r="T7" s="768"/>
      <c r="U7" s="767" t="s">
        <v>977</v>
      </c>
      <c r="V7" s="769"/>
      <c r="W7" s="770" t="s">
        <v>370</v>
      </c>
      <c r="X7" s="771" t="s">
        <v>978</v>
      </c>
      <c r="AA7" s="779" t="s">
        <v>1063</v>
      </c>
      <c r="AB7" s="780" t="s">
        <v>946</v>
      </c>
      <c r="AC7" s="780" t="s">
        <v>400</v>
      </c>
    </row>
    <row r="8" spans="1:29" ht="18" customHeight="1" thickBot="1" x14ac:dyDescent="0.4">
      <c r="A8" s="4" t="s">
        <v>915</v>
      </c>
      <c r="B8" s="186" t="str">
        <f>INDEX('Raw Forecasting NPS Data'!$C$6:$C$166,MATCH('MCODE Final Mapping'!$D8,'Raw Forecasting NPS Data'!$I$6:$I$166,0))</f>
        <v>Keytruda</v>
      </c>
      <c r="C8" s="178" t="str">
        <f>INDEX('Raw Forecasting NPS Data'!$D$6:$D$166,MATCH('MCODE Final Mapping'!$D8,'Raw Forecasting NPS Data'!$I$6:$I$166,0))</f>
        <v>Cervical</v>
      </c>
      <c r="D8" s="22" t="s">
        <v>345</v>
      </c>
      <c r="E8" s="140" t="s">
        <v>1134</v>
      </c>
      <c r="I8" s="130" t="s">
        <v>43</v>
      </c>
      <c r="J8" s="22" t="s">
        <v>33</v>
      </c>
      <c r="K8" s="22" t="s">
        <v>345</v>
      </c>
      <c r="L8" s="140" t="s">
        <v>1134</v>
      </c>
      <c r="R8" s="9" t="s">
        <v>981</v>
      </c>
      <c r="S8" s="772" t="s">
        <v>982</v>
      </c>
      <c r="T8" s="768"/>
      <c r="U8" s="767" t="s">
        <v>977</v>
      </c>
      <c r="V8" s="769"/>
      <c r="W8" s="770" t="s">
        <v>983</v>
      </c>
      <c r="X8" s="771" t="s">
        <v>984</v>
      </c>
      <c r="AA8" s="779" t="s">
        <v>1024</v>
      </c>
      <c r="AB8" s="780" t="s">
        <v>946</v>
      </c>
      <c r="AC8" s="780" t="s">
        <v>401</v>
      </c>
    </row>
    <row r="9" spans="1:29" ht="18" customHeight="1" thickBot="1" x14ac:dyDescent="0.4">
      <c r="A9" s="4" t="s">
        <v>915</v>
      </c>
      <c r="B9" s="186" t="str">
        <f>INDEX('Raw Forecasting NPS Data'!$C$6:$C$166,MATCH('MCODE Final Mapping'!$D9,'Raw Forecasting NPS Data'!$I$6:$I$166,0))</f>
        <v>Keytruda</v>
      </c>
      <c r="C9" s="178" t="str">
        <f>INDEX('Raw Forecasting NPS Data'!$D$6:$D$166,MATCH('MCODE Final Mapping'!$D9,'Raw Forecasting NPS Data'!$I$6:$I$166,0))</f>
        <v>Cervical</v>
      </c>
      <c r="D9" s="22" t="s">
        <v>346</v>
      </c>
      <c r="E9" s="140" t="s">
        <v>1134</v>
      </c>
      <c r="I9" s="130" t="s">
        <v>43</v>
      </c>
      <c r="J9" s="22" t="s">
        <v>33</v>
      </c>
      <c r="K9" s="22" t="s">
        <v>346</v>
      </c>
      <c r="L9" s="140" t="s">
        <v>1134</v>
      </c>
      <c r="R9" s="9" t="s">
        <v>985</v>
      </c>
      <c r="S9" s="772" t="s">
        <v>986</v>
      </c>
      <c r="T9" s="768"/>
      <c r="U9" s="767" t="s">
        <v>977</v>
      </c>
      <c r="V9" s="769"/>
      <c r="W9" s="770" t="s">
        <v>983</v>
      </c>
      <c r="X9" s="771" t="s">
        <v>987</v>
      </c>
      <c r="AA9" s="779" t="s">
        <v>1024</v>
      </c>
      <c r="AB9" s="780" t="s">
        <v>946</v>
      </c>
      <c r="AC9" s="780" t="s">
        <v>233</v>
      </c>
    </row>
    <row r="10" spans="1:29" ht="18" customHeight="1" thickBot="1" x14ac:dyDescent="0.4">
      <c r="A10" s="4" t="s">
        <v>915</v>
      </c>
      <c r="B10" s="281" t="str">
        <f>INDEX('Raw Forecasting NPS Data'!$C$6:$C$166,MATCH('MCODE Final Mapping'!$D10,'Raw Forecasting NPS Data'!$I$6:$I$166,0))</f>
        <v>New Product</v>
      </c>
      <c r="C10" s="282" t="str">
        <f>INDEX('Raw Forecasting NPS Data'!$D$6:$D$166,MATCH('MCODE Final Mapping'!$D10,'Raw Forecasting NPS Data'!$I$6:$I$166,0))</f>
        <v>CRC</v>
      </c>
      <c r="D10" s="283" t="s">
        <v>52</v>
      </c>
      <c r="E10" s="284" t="s">
        <v>1135</v>
      </c>
      <c r="F10" s="182" t="s">
        <v>678</v>
      </c>
      <c r="I10" s="130" t="s">
        <v>467</v>
      </c>
      <c r="J10" s="22" t="s">
        <v>48</v>
      </c>
      <c r="K10" s="22" t="s">
        <v>52</v>
      </c>
      <c r="L10" s="140" t="s">
        <v>1135</v>
      </c>
      <c r="R10" s="9" t="s">
        <v>988</v>
      </c>
      <c r="S10" s="772" t="s">
        <v>989</v>
      </c>
      <c r="T10" s="768"/>
      <c r="U10" s="767" t="s">
        <v>977</v>
      </c>
      <c r="V10" s="769"/>
      <c r="W10" s="770" t="s">
        <v>983</v>
      </c>
      <c r="X10" s="771" t="s">
        <v>990</v>
      </c>
      <c r="AA10" s="779" t="s">
        <v>1024</v>
      </c>
      <c r="AB10" s="780" t="s">
        <v>946</v>
      </c>
      <c r="AC10" s="780" t="s">
        <v>192</v>
      </c>
    </row>
    <row r="11" spans="1:29" ht="18" customHeight="1" thickBot="1" x14ac:dyDescent="0.4">
      <c r="A11" s="4" t="s">
        <v>914</v>
      </c>
      <c r="B11" s="186" t="str">
        <f>INDEX('Raw Forecasting NPS Data'!$C$6:$C$166,MATCH('MCODE Final Mapping'!$D11,'Raw Forecasting NPS Data'!$I$6:$I$166,0))</f>
        <v>Keytruda</v>
      </c>
      <c r="C11" s="178" t="str">
        <f>INDEX('Raw Forecasting NPS Data'!$D$6:$D$166,MATCH('MCODE Final Mapping'!$D11,'Raw Forecasting NPS Data'!$I$6:$I$166,0))</f>
        <v>CRC</v>
      </c>
      <c r="D11" s="22" t="s">
        <v>55</v>
      </c>
      <c r="E11" s="140" t="s">
        <v>1133</v>
      </c>
      <c r="I11" s="130" t="s">
        <v>43</v>
      </c>
      <c r="J11" s="22" t="s">
        <v>48</v>
      </c>
      <c r="K11" s="22" t="s">
        <v>55</v>
      </c>
      <c r="L11" s="140" t="s">
        <v>1133</v>
      </c>
      <c r="R11" s="9" t="s">
        <v>991</v>
      </c>
      <c r="S11" s="772" t="s">
        <v>992</v>
      </c>
      <c r="T11" s="768"/>
      <c r="U11" s="767" t="s">
        <v>977</v>
      </c>
      <c r="V11" s="769"/>
      <c r="W11" s="770" t="s">
        <v>983</v>
      </c>
      <c r="X11" s="771" t="s">
        <v>984</v>
      </c>
      <c r="AA11" s="779" t="s">
        <v>1026</v>
      </c>
      <c r="AB11" s="780" t="s">
        <v>947</v>
      </c>
      <c r="AC11" s="780" t="s">
        <v>1093</v>
      </c>
    </row>
    <row r="12" spans="1:29" ht="18" customHeight="1" thickBot="1" x14ac:dyDescent="0.4">
      <c r="A12" s="4" t="s">
        <v>914</v>
      </c>
      <c r="B12" s="186" t="str">
        <f>INDEX('Raw Forecasting NPS Data'!$C$6:$C$166,MATCH('MCODE Final Mapping'!$D12,'Raw Forecasting NPS Data'!$I$6:$I$166,0))</f>
        <v>Keytruda</v>
      </c>
      <c r="C12" s="178" t="str">
        <f>INDEX('Raw Forecasting NPS Data'!$D$6:$D$166,MATCH('MCODE Final Mapping'!$D12,'Raw Forecasting NPS Data'!$I$6:$I$166,0))</f>
        <v>CRC</v>
      </c>
      <c r="D12" s="22" t="s">
        <v>59</v>
      </c>
      <c r="E12" s="140" t="s">
        <v>1133</v>
      </c>
      <c r="I12" s="130" t="s">
        <v>43</v>
      </c>
      <c r="J12" s="22" t="s">
        <v>48</v>
      </c>
      <c r="K12" s="22" t="s">
        <v>59</v>
      </c>
      <c r="L12" s="140" t="s">
        <v>1133</v>
      </c>
      <c r="R12" s="9" t="s">
        <v>993</v>
      </c>
      <c r="S12" s="772" t="s">
        <v>994</v>
      </c>
      <c r="T12" s="768"/>
      <c r="U12" s="767" t="s">
        <v>977</v>
      </c>
      <c r="V12" s="769"/>
      <c r="W12" s="770" t="s">
        <v>983</v>
      </c>
      <c r="X12" s="771" t="s">
        <v>984</v>
      </c>
      <c r="AA12" s="779" t="s">
        <v>1026</v>
      </c>
      <c r="AB12" s="780" t="s">
        <v>947</v>
      </c>
      <c r="AC12" s="780" t="s">
        <v>404</v>
      </c>
    </row>
    <row r="13" spans="1:29" ht="18" customHeight="1" thickBot="1" x14ac:dyDescent="0.4">
      <c r="A13" s="4" t="s">
        <v>915</v>
      </c>
      <c r="B13" s="186" t="str">
        <f>INDEX('Raw Forecasting NPS Data'!$C$6:$C$166,MATCH('MCODE Final Mapping'!$D13,'Raw Forecasting NPS Data'!$I$6:$I$166,0))</f>
        <v>Keytruda</v>
      </c>
      <c r="C13" s="178" t="str">
        <f>INDEX('Raw Forecasting NPS Data'!$D$6:$D$166,MATCH('MCODE Final Mapping'!$D13,'Raw Forecasting NPS Data'!$I$6:$I$166,0))</f>
        <v>cSCC</v>
      </c>
      <c r="D13" s="22" t="s">
        <v>64</v>
      </c>
      <c r="E13" s="140" t="s">
        <v>1136</v>
      </c>
      <c r="I13" s="130" t="s">
        <v>43</v>
      </c>
      <c r="J13" s="22" t="s">
        <v>62</v>
      </c>
      <c r="K13" s="22" t="s">
        <v>64</v>
      </c>
      <c r="L13" s="140" t="s">
        <v>1136</v>
      </c>
      <c r="R13" s="9" t="s">
        <v>995</v>
      </c>
      <c r="S13" s="772" t="s">
        <v>996</v>
      </c>
      <c r="T13" s="768"/>
      <c r="U13" s="767" t="s">
        <v>977</v>
      </c>
      <c r="V13" s="769" t="s">
        <v>997</v>
      </c>
      <c r="W13" s="770" t="s">
        <v>983</v>
      </c>
      <c r="X13" s="771" t="s">
        <v>990</v>
      </c>
      <c r="AA13" s="779" t="s">
        <v>1026</v>
      </c>
      <c r="AB13" s="780" t="s">
        <v>947</v>
      </c>
      <c r="AC13" s="780" t="s">
        <v>188</v>
      </c>
    </row>
    <row r="14" spans="1:29" ht="18" customHeight="1" thickBot="1" x14ac:dyDescent="0.4">
      <c r="A14" s="4" t="s">
        <v>916</v>
      </c>
      <c r="B14" s="315" t="str">
        <f>INDEX('Raw Forecasting NPS Data'!$C$6:$C$166,MATCH('MCODE Final Mapping'!$D14,'Raw Forecasting NPS Data'!$I$6:$I$166,0))</f>
        <v>New Product</v>
      </c>
      <c r="C14" s="316" t="str">
        <f>INDEX('Raw Forecasting NPS Data'!$D$6:$D$166,MATCH('MCODE Final Mapping'!$D14,'Raw Forecasting NPS Data'!$I$6:$I$166,0))</f>
        <v>DLBCL</v>
      </c>
      <c r="D14" s="317" t="s">
        <v>70</v>
      </c>
      <c r="E14" s="318" t="s">
        <v>1137</v>
      </c>
      <c r="F14" s="182" t="s">
        <v>679</v>
      </c>
      <c r="I14" s="130" t="s">
        <v>43</v>
      </c>
      <c r="J14" s="22" t="s">
        <v>74</v>
      </c>
      <c r="K14" s="22" t="s">
        <v>77</v>
      </c>
      <c r="L14" s="140" t="s">
        <v>1138</v>
      </c>
      <c r="R14" s="9" t="s">
        <v>998</v>
      </c>
      <c r="S14" s="772" t="s">
        <v>999</v>
      </c>
      <c r="T14" s="768"/>
      <c r="U14" s="767" t="s">
        <v>977</v>
      </c>
      <c r="V14" s="769"/>
      <c r="W14" s="770" t="s">
        <v>1000</v>
      </c>
      <c r="X14" s="771" t="s">
        <v>990</v>
      </c>
      <c r="AA14" s="779" t="s">
        <v>914</v>
      </c>
      <c r="AB14" s="780" t="s">
        <v>948</v>
      </c>
      <c r="AC14" s="780" t="s">
        <v>406</v>
      </c>
    </row>
    <row r="15" spans="1:29" ht="18" customHeight="1" thickBot="1" x14ac:dyDescent="0.4">
      <c r="A15" s="4" t="s">
        <v>915</v>
      </c>
      <c r="B15" s="186" t="str">
        <f>INDEX('Raw Forecasting NPS Data'!$C$6:$C$166,MATCH('MCODE Final Mapping'!$D15,'Raw Forecasting NPS Data'!$I$6:$I$166,0))</f>
        <v>Keytruda</v>
      </c>
      <c r="C15" s="178" t="str">
        <f>INDEX('Raw Forecasting NPS Data'!$D$6:$D$166,MATCH('MCODE Final Mapping'!$D15,'Raw Forecasting NPS Data'!$I$6:$I$166,0))</f>
        <v>Endometrial</v>
      </c>
      <c r="D15" s="22" t="s">
        <v>77</v>
      </c>
      <c r="E15" s="140" t="s">
        <v>1138</v>
      </c>
      <c r="I15" s="130" t="s">
        <v>43</v>
      </c>
      <c r="J15" s="22" t="s">
        <v>74</v>
      </c>
      <c r="K15" s="22" t="s">
        <v>347</v>
      </c>
      <c r="L15" s="140" t="s">
        <v>1138</v>
      </c>
      <c r="R15" s="9" t="s">
        <v>1001</v>
      </c>
      <c r="S15" s="772" t="s">
        <v>1002</v>
      </c>
      <c r="T15" s="768"/>
      <c r="U15" s="767" t="s">
        <v>977</v>
      </c>
      <c r="V15" s="769"/>
      <c r="W15" s="770" t="s">
        <v>1003</v>
      </c>
      <c r="X15" s="771" t="s">
        <v>990</v>
      </c>
      <c r="AA15" s="779" t="s">
        <v>917</v>
      </c>
      <c r="AB15" s="780" t="s">
        <v>948</v>
      </c>
      <c r="AC15" s="780" t="s">
        <v>442</v>
      </c>
    </row>
    <row r="16" spans="1:29" ht="18" customHeight="1" thickBot="1" x14ac:dyDescent="0.4">
      <c r="A16" s="4" t="s">
        <v>915</v>
      </c>
      <c r="B16" s="186" t="str">
        <f>INDEX('Raw Forecasting NPS Data'!$C$6:$C$166,MATCH('MCODE Final Mapping'!$D16,'Raw Forecasting NPS Data'!$I$6:$I$166,0))</f>
        <v>Keytruda</v>
      </c>
      <c r="C16" s="178" t="str">
        <f>INDEX('Raw Forecasting NPS Data'!$D$6:$D$166,MATCH('MCODE Final Mapping'!$D16,'Raw Forecasting NPS Data'!$I$6:$I$166,0))</f>
        <v>Endometrial</v>
      </c>
      <c r="D16" s="22" t="s">
        <v>347</v>
      </c>
      <c r="E16" s="140" t="s">
        <v>1138</v>
      </c>
      <c r="F16" s="182" t="s">
        <v>680</v>
      </c>
      <c r="I16" s="130" t="s">
        <v>468</v>
      </c>
      <c r="J16" s="22" t="s">
        <v>74</v>
      </c>
      <c r="K16" s="22" t="s">
        <v>86</v>
      </c>
      <c r="L16" s="140" t="s">
        <v>1139</v>
      </c>
      <c r="R16" s="9" t="s">
        <v>1004</v>
      </c>
      <c r="S16" s="772" t="s">
        <v>1005</v>
      </c>
      <c r="T16" s="768"/>
      <c r="U16" s="767" t="s">
        <v>977</v>
      </c>
      <c r="V16" s="769" t="s">
        <v>1006</v>
      </c>
      <c r="W16" s="770" t="s">
        <v>1007</v>
      </c>
      <c r="X16" s="771" t="s">
        <v>990</v>
      </c>
      <c r="AA16" s="779" t="s">
        <v>914</v>
      </c>
      <c r="AB16" s="780" t="s">
        <v>948</v>
      </c>
      <c r="AC16" s="780" t="s">
        <v>1094</v>
      </c>
    </row>
    <row r="17" spans="1:29" ht="18" customHeight="1" thickBot="1" x14ac:dyDescent="0.4">
      <c r="A17" s="4" t="s">
        <v>915</v>
      </c>
      <c r="B17" s="186" t="str">
        <f>INDEX('Raw Forecasting NPS Data'!$C$6:$C$166,MATCH('MCODE Final Mapping'!$D17,'Raw Forecasting NPS Data'!$I$6:$I$166,0))</f>
        <v>Keytruda-Lenvima</v>
      </c>
      <c r="C17" s="178" t="str">
        <f>INDEX('Raw Forecasting NPS Data'!$D$6:$D$166,MATCH('MCODE Final Mapping'!$D17,'Raw Forecasting NPS Data'!$I$6:$I$166,0))</f>
        <v>Endometrial</v>
      </c>
      <c r="D17" s="22" t="s">
        <v>86</v>
      </c>
      <c r="E17" s="140" t="s">
        <v>1139</v>
      </c>
      <c r="I17" s="130" t="s">
        <v>43</v>
      </c>
      <c r="J17" s="22" t="s">
        <v>74</v>
      </c>
      <c r="K17" s="22" t="s">
        <v>93</v>
      </c>
      <c r="L17" s="140" t="s">
        <v>1138</v>
      </c>
      <c r="R17" s="9" t="s">
        <v>1008</v>
      </c>
      <c r="S17" s="772" t="s">
        <v>1009</v>
      </c>
      <c r="T17" s="768"/>
      <c r="U17" s="767" t="s">
        <v>977</v>
      </c>
      <c r="V17" s="769" t="s">
        <v>1010</v>
      </c>
      <c r="W17" s="770" t="s">
        <v>983</v>
      </c>
      <c r="X17" s="771" t="s">
        <v>990</v>
      </c>
      <c r="AA17" s="779" t="s">
        <v>914</v>
      </c>
      <c r="AB17" s="780" t="s">
        <v>948</v>
      </c>
      <c r="AC17" s="780" t="s">
        <v>136</v>
      </c>
    </row>
    <row r="18" spans="1:29" ht="18" customHeight="1" thickBot="1" x14ac:dyDescent="0.4">
      <c r="A18" s="4" t="s">
        <v>915</v>
      </c>
      <c r="B18" s="186" t="str">
        <f>INDEX('Raw Forecasting NPS Data'!$C$6:$C$166,MATCH('MCODE Final Mapping'!$D18,'Raw Forecasting NPS Data'!$I$6:$I$166,0))</f>
        <v>Keytruda</v>
      </c>
      <c r="C18" s="178" t="str">
        <f>INDEX('Raw Forecasting NPS Data'!$D$6:$D$166,MATCH('MCODE Final Mapping'!$D18,'Raw Forecasting NPS Data'!$I$6:$I$166,0))</f>
        <v>Endometrial</v>
      </c>
      <c r="D18" s="22" t="s">
        <v>93</v>
      </c>
      <c r="E18" s="140" t="s">
        <v>1138</v>
      </c>
      <c r="I18" s="130" t="s">
        <v>43</v>
      </c>
      <c r="J18" s="22" t="s">
        <v>74</v>
      </c>
      <c r="K18" s="22" t="s">
        <v>96</v>
      </c>
      <c r="L18" s="140" t="s">
        <v>1138</v>
      </c>
      <c r="R18" s="9" t="s">
        <v>1011</v>
      </c>
      <c r="S18" s="772" t="s">
        <v>1012</v>
      </c>
      <c r="T18" s="768"/>
      <c r="U18" s="767" t="s">
        <v>977</v>
      </c>
      <c r="V18" s="769"/>
      <c r="W18" s="770" t="s">
        <v>1013</v>
      </c>
      <c r="X18" s="771" t="s">
        <v>1014</v>
      </c>
      <c r="AA18" s="779" t="s">
        <v>914</v>
      </c>
      <c r="AB18" s="780" t="s">
        <v>948</v>
      </c>
      <c r="AC18" s="780" t="s">
        <v>27</v>
      </c>
    </row>
    <row r="19" spans="1:29" ht="18" customHeight="1" thickBot="1" x14ac:dyDescent="0.4">
      <c r="A19" s="4" t="s">
        <v>915</v>
      </c>
      <c r="B19" s="186" t="str">
        <f>INDEX('Raw Forecasting NPS Data'!$C$6:$C$166,MATCH('MCODE Final Mapping'!$D19,'Raw Forecasting NPS Data'!$I$6:$I$166,0))</f>
        <v>Keytruda</v>
      </c>
      <c r="C19" s="178" t="str">
        <f>INDEX('Raw Forecasting NPS Data'!$D$6:$D$166,MATCH('MCODE Final Mapping'!$D19,'Raw Forecasting NPS Data'!$I$6:$I$166,0))</f>
        <v>Endometrial</v>
      </c>
      <c r="D19" s="22" t="s">
        <v>96</v>
      </c>
      <c r="E19" s="140" t="s">
        <v>1138</v>
      </c>
      <c r="I19" s="130" t="s">
        <v>43</v>
      </c>
      <c r="J19" s="22" t="s">
        <v>99</v>
      </c>
      <c r="K19" s="22" t="s">
        <v>108</v>
      </c>
      <c r="L19" s="140" t="s">
        <v>1133</v>
      </c>
      <c r="R19" s="9" t="s">
        <v>1015</v>
      </c>
      <c r="S19" s="772" t="s">
        <v>1016</v>
      </c>
      <c r="T19" s="768"/>
      <c r="U19" s="767" t="s">
        <v>977</v>
      </c>
      <c r="V19" s="769"/>
      <c r="W19" s="770" t="s">
        <v>1017</v>
      </c>
      <c r="X19" s="771" t="s">
        <v>1014</v>
      </c>
      <c r="AA19" s="779" t="s">
        <v>1075</v>
      </c>
      <c r="AB19" s="780" t="s">
        <v>948</v>
      </c>
      <c r="AC19" s="780" t="s">
        <v>424</v>
      </c>
    </row>
    <row r="20" spans="1:29" ht="18" customHeight="1" thickBot="1" x14ac:dyDescent="0.4">
      <c r="A20" s="4" t="s">
        <v>916</v>
      </c>
      <c r="B20" s="315" t="str">
        <f>INDEX('Raw Forecasting NPS Data'!$C$6:$C$166,MATCH('MCODE Final Mapping'!$D20,'Raw Forecasting NPS Data'!$I$6:$I$166,0))</f>
        <v>Keytruda</v>
      </c>
      <c r="C20" s="316" t="str">
        <f>INDEX('Raw Forecasting NPS Data'!$D$6:$D$166,MATCH('MCODE Final Mapping'!$D20,'Raw Forecasting NPS Data'!$I$6:$I$166,0))</f>
        <v>Esophageal</v>
      </c>
      <c r="D20" s="317" t="s">
        <v>102</v>
      </c>
      <c r="E20" s="318" t="s">
        <v>1140</v>
      </c>
      <c r="F20" s="182" t="s">
        <v>681</v>
      </c>
      <c r="I20" s="130" t="s">
        <v>43</v>
      </c>
      <c r="J20" s="22" t="s">
        <v>99</v>
      </c>
      <c r="K20" s="22" t="s">
        <v>110</v>
      </c>
      <c r="L20" s="140" t="s">
        <v>1133</v>
      </c>
      <c r="R20" s="9" t="s">
        <v>1018</v>
      </c>
      <c r="S20" s="772" t="s">
        <v>1019</v>
      </c>
      <c r="T20" s="768"/>
      <c r="U20" s="767" t="s">
        <v>977</v>
      </c>
      <c r="V20" s="769"/>
      <c r="W20" s="770" t="s">
        <v>983</v>
      </c>
      <c r="X20" s="771" t="s">
        <v>1020</v>
      </c>
      <c r="AA20" s="779" t="s">
        <v>914</v>
      </c>
      <c r="AB20" s="780" t="s">
        <v>949</v>
      </c>
      <c r="AC20" s="780" t="s">
        <v>408</v>
      </c>
    </row>
    <row r="21" spans="1:29" ht="18" customHeight="1" thickBot="1" x14ac:dyDescent="0.4">
      <c r="A21" s="4" t="s">
        <v>916</v>
      </c>
      <c r="B21" s="315" t="str">
        <f>INDEX('Raw Forecasting NPS Data'!$C$6:$C$166,MATCH('MCODE Final Mapping'!$D21,'Raw Forecasting NPS Data'!$I$6:$I$166,0))</f>
        <v>Keytruda-Lenvima</v>
      </c>
      <c r="C21" s="316" t="str">
        <f>INDEX('Raw Forecasting NPS Data'!$D$6:$D$166,MATCH('MCODE Final Mapping'!$D21,'Raw Forecasting NPS Data'!$I$6:$I$166,0))</f>
        <v>Esophageal</v>
      </c>
      <c r="D21" s="317" t="s">
        <v>106</v>
      </c>
      <c r="E21" s="318" t="s">
        <v>1140</v>
      </c>
      <c r="F21" s="182" t="s">
        <v>681</v>
      </c>
      <c r="I21" s="813" t="s">
        <v>468</v>
      </c>
      <c r="J21" s="814" t="s">
        <v>115</v>
      </c>
      <c r="K21" s="814" t="s">
        <v>118</v>
      </c>
      <c r="L21" s="815" t="s">
        <v>1156</v>
      </c>
      <c r="R21" s="9" t="s">
        <v>1021</v>
      </c>
      <c r="S21" s="772" t="s">
        <v>1022</v>
      </c>
      <c r="T21" s="768"/>
      <c r="U21" s="767" t="s">
        <v>977</v>
      </c>
      <c r="V21" s="769"/>
      <c r="W21" s="770" t="s">
        <v>983</v>
      </c>
      <c r="X21" s="771" t="s">
        <v>1014</v>
      </c>
      <c r="AA21" s="779" t="s">
        <v>1029</v>
      </c>
      <c r="AB21" s="780" t="s">
        <v>950</v>
      </c>
      <c r="AC21" s="780" t="s">
        <v>1095</v>
      </c>
    </row>
    <row r="22" spans="1:29" ht="18" customHeight="1" thickBot="1" x14ac:dyDescent="0.4">
      <c r="A22" s="4" t="s">
        <v>914</v>
      </c>
      <c r="B22" s="569" t="str">
        <f>INDEX('Raw Forecasting NPS Data'!$C$6:$C$166,MATCH('MCODE Final Mapping'!$D22,'Raw Forecasting NPS Data'!$I$6:$I$166,0))</f>
        <v>Keytruda</v>
      </c>
      <c r="C22" s="570" t="str">
        <f>INDEX('Raw Forecasting NPS Data'!$D$6:$D$166,MATCH('MCODE Final Mapping'!$D22,'Raw Forecasting NPS Data'!$I$6:$I$166,0))</f>
        <v>Esophageal</v>
      </c>
      <c r="D22" s="571" t="s">
        <v>108</v>
      </c>
      <c r="E22" s="572" t="s">
        <v>1133</v>
      </c>
      <c r="F22" s="287" t="s">
        <v>920</v>
      </c>
      <c r="I22" s="130" t="s">
        <v>43</v>
      </c>
      <c r="J22" s="22" t="s">
        <v>115</v>
      </c>
      <c r="K22" s="22" t="s">
        <v>122</v>
      </c>
      <c r="L22" s="140" t="s">
        <v>1133</v>
      </c>
      <c r="R22" s="9" t="s">
        <v>1023</v>
      </c>
      <c r="S22" s="772" t="s">
        <v>1024</v>
      </c>
      <c r="T22" s="768"/>
      <c r="U22" s="767" t="s">
        <v>977</v>
      </c>
      <c r="V22" s="769"/>
      <c r="W22" s="770" t="s">
        <v>370</v>
      </c>
      <c r="X22" s="771" t="s">
        <v>1020</v>
      </c>
      <c r="AA22" s="779" t="s">
        <v>1067</v>
      </c>
      <c r="AB22" s="780" t="s">
        <v>950</v>
      </c>
      <c r="AC22" s="780" t="s">
        <v>410</v>
      </c>
    </row>
    <row r="23" spans="1:29" ht="18" customHeight="1" thickBot="1" x14ac:dyDescent="0.4">
      <c r="A23" s="4" t="s">
        <v>914</v>
      </c>
      <c r="B23" s="569" t="str">
        <f>INDEX('Raw Forecasting NPS Data'!$C$6:$C$166,MATCH('MCODE Final Mapping'!$D23,'Raw Forecasting NPS Data'!$I$6:$I$166,0))</f>
        <v>Keytruda</v>
      </c>
      <c r="C23" s="570" t="str">
        <f>INDEX('Raw Forecasting NPS Data'!$D$6:$D$166,MATCH('MCODE Final Mapping'!$D23,'Raw Forecasting NPS Data'!$I$6:$I$166,0))</f>
        <v>Esophageal</v>
      </c>
      <c r="D23" s="571" t="s">
        <v>110</v>
      </c>
      <c r="E23" s="572" t="s">
        <v>1133</v>
      </c>
      <c r="I23" s="130" t="s">
        <v>43</v>
      </c>
      <c r="J23" s="22" t="s">
        <v>115</v>
      </c>
      <c r="K23" s="22" t="s">
        <v>124</v>
      </c>
      <c r="L23" s="140" t="s">
        <v>1133</v>
      </c>
      <c r="R23" s="9" t="s">
        <v>1025</v>
      </c>
      <c r="S23" s="772" t="s">
        <v>1026</v>
      </c>
      <c r="T23" s="768"/>
      <c r="U23" s="767" t="s">
        <v>977</v>
      </c>
      <c r="V23" s="769"/>
      <c r="W23" s="770" t="s">
        <v>370</v>
      </c>
      <c r="X23" s="771" t="s">
        <v>1027</v>
      </c>
      <c r="AA23" s="779" t="s">
        <v>1029</v>
      </c>
      <c r="AB23" s="780" t="s">
        <v>950</v>
      </c>
      <c r="AC23" s="780" t="s">
        <v>1096</v>
      </c>
    </row>
    <row r="24" spans="1:29" ht="18" customHeight="1" thickBot="1" x14ac:dyDescent="0.4">
      <c r="A24" s="4" t="s">
        <v>917</v>
      </c>
      <c r="B24" s="281" t="str">
        <f>INDEX('Raw Forecasting NPS Data'!$C$6:$C$166,MATCH('MCODE Final Mapping'!$D24,'Raw Forecasting NPS Data'!$I$6:$I$166,0))</f>
        <v>Keytruda-Lenvima</v>
      </c>
      <c r="C24" s="282" t="str">
        <f>INDEX('Raw Forecasting NPS Data'!$D$6:$D$166,MATCH('MCODE Final Mapping'!$D24,'Raw Forecasting NPS Data'!$I$6:$I$166,0))</f>
        <v>Gastric</v>
      </c>
      <c r="D24" s="283" t="s">
        <v>118</v>
      </c>
      <c r="E24" s="284" t="s">
        <v>1156</v>
      </c>
      <c r="F24" s="287" t="s">
        <v>1157</v>
      </c>
      <c r="I24" s="130" t="s">
        <v>43</v>
      </c>
      <c r="J24" s="22" t="s">
        <v>115</v>
      </c>
      <c r="K24" s="22" t="s">
        <v>126</v>
      </c>
      <c r="L24" s="140" t="s">
        <v>1133</v>
      </c>
      <c r="R24" s="9" t="s">
        <v>1028</v>
      </c>
      <c r="S24" s="772" t="s">
        <v>1029</v>
      </c>
      <c r="T24" s="768"/>
      <c r="U24" s="767" t="s">
        <v>977</v>
      </c>
      <c r="V24" s="769"/>
      <c r="W24" s="770" t="s">
        <v>370</v>
      </c>
      <c r="X24" s="771" t="s">
        <v>1020</v>
      </c>
      <c r="AA24" s="779" t="s">
        <v>1029</v>
      </c>
      <c r="AB24" s="780" t="s">
        <v>950</v>
      </c>
      <c r="AC24" s="780" t="s">
        <v>64</v>
      </c>
    </row>
    <row r="25" spans="1:29" ht="18" customHeight="1" thickBot="1" x14ac:dyDescent="0.4">
      <c r="A25" s="4" t="s">
        <v>914</v>
      </c>
      <c r="B25" s="281" t="str">
        <f>INDEX('Raw Forecasting NPS Data'!$C$6:$C$166,MATCH('MCODE Final Mapping'!$D25,'Raw Forecasting NPS Data'!$I$6:$I$166,0))</f>
        <v>Keytruda</v>
      </c>
      <c r="C25" s="282" t="str">
        <f>INDEX('Raw Forecasting NPS Data'!$D$6:$D$166,MATCH('MCODE Final Mapping'!$D25,'Raw Forecasting NPS Data'!$I$6:$I$166,0))</f>
        <v>Gastric</v>
      </c>
      <c r="D25" s="283" t="s">
        <v>122</v>
      </c>
      <c r="E25" s="284" t="s">
        <v>1133</v>
      </c>
      <c r="F25" s="182" t="s">
        <v>682</v>
      </c>
      <c r="I25" s="130" t="s">
        <v>43</v>
      </c>
      <c r="J25" s="22" t="s">
        <v>127</v>
      </c>
      <c r="K25" s="22" t="s">
        <v>133</v>
      </c>
      <c r="L25" s="140" t="s">
        <v>1133</v>
      </c>
      <c r="R25" s="9" t="s">
        <v>1030</v>
      </c>
      <c r="S25" s="772" t="s">
        <v>1031</v>
      </c>
      <c r="T25" s="768"/>
      <c r="U25" s="767" t="s">
        <v>977</v>
      </c>
      <c r="V25" s="769"/>
      <c r="W25" s="770" t="s">
        <v>370</v>
      </c>
      <c r="X25" s="771" t="s">
        <v>1032</v>
      </c>
      <c r="AA25" s="779" t="s">
        <v>1050</v>
      </c>
      <c r="AB25" s="780" t="s">
        <v>951</v>
      </c>
      <c r="AC25" s="780" t="s">
        <v>163</v>
      </c>
    </row>
    <row r="26" spans="1:29" ht="18" customHeight="1" thickBot="1" x14ac:dyDescent="0.4">
      <c r="A26" s="4" t="s">
        <v>914</v>
      </c>
      <c r="B26" s="186" t="str">
        <f>INDEX('Raw Forecasting NPS Data'!$C$6:$C$166,MATCH('MCODE Final Mapping'!$D26,'Raw Forecasting NPS Data'!$I$6:$I$166,0))</f>
        <v>Keytruda</v>
      </c>
      <c r="C26" s="178" t="str">
        <f>INDEX('Raw Forecasting NPS Data'!$D$6:$D$166,MATCH('MCODE Final Mapping'!$D26,'Raw Forecasting NPS Data'!$I$6:$I$166,0))</f>
        <v>Gastric</v>
      </c>
      <c r="D26" s="22" t="s">
        <v>124</v>
      </c>
      <c r="E26" s="140" t="s">
        <v>1133</v>
      </c>
      <c r="I26" s="130" t="s">
        <v>43</v>
      </c>
      <c r="J26" s="22" t="s">
        <v>127</v>
      </c>
      <c r="K26" s="22" t="s">
        <v>136</v>
      </c>
      <c r="L26" s="140" t="s">
        <v>1133</v>
      </c>
      <c r="R26" s="9" t="s">
        <v>1033</v>
      </c>
      <c r="S26" s="772" t="s">
        <v>1034</v>
      </c>
      <c r="T26" s="768"/>
      <c r="U26" s="767" t="s">
        <v>977</v>
      </c>
      <c r="V26" s="769" t="s">
        <v>1035</v>
      </c>
      <c r="W26" s="770" t="s">
        <v>370</v>
      </c>
      <c r="X26" s="771" t="s">
        <v>1032</v>
      </c>
      <c r="AA26" s="779" t="s">
        <v>1037</v>
      </c>
      <c r="AB26" s="780" t="s">
        <v>952</v>
      </c>
      <c r="AC26" s="780" t="s">
        <v>413</v>
      </c>
    </row>
    <row r="27" spans="1:29" ht="18" customHeight="1" thickBot="1" x14ac:dyDescent="0.4">
      <c r="A27" s="4" t="s">
        <v>914</v>
      </c>
      <c r="B27" s="186" t="str">
        <f>INDEX('Raw Forecasting NPS Data'!$C$6:$C$166,MATCH('MCODE Final Mapping'!$D27,'Raw Forecasting NPS Data'!$I$6:$I$166,0))</f>
        <v>Keytruda</v>
      </c>
      <c r="C27" s="178" t="str">
        <f>INDEX('Raw Forecasting NPS Data'!$D$6:$D$166,MATCH('MCODE Final Mapping'!$D27,'Raw Forecasting NPS Data'!$I$6:$I$166,0))</f>
        <v>Gastric</v>
      </c>
      <c r="D27" s="22" t="s">
        <v>126</v>
      </c>
      <c r="E27" s="140" t="s">
        <v>1133</v>
      </c>
      <c r="I27" s="130" t="s">
        <v>468</v>
      </c>
      <c r="J27" s="22" t="s">
        <v>141</v>
      </c>
      <c r="K27" s="22" t="s">
        <v>143</v>
      </c>
      <c r="L27" s="140" t="s">
        <v>1141</v>
      </c>
      <c r="R27" s="9" t="s">
        <v>1036</v>
      </c>
      <c r="S27" s="772" t="s">
        <v>1037</v>
      </c>
      <c r="T27" s="768"/>
      <c r="U27" s="767" t="s">
        <v>977</v>
      </c>
      <c r="V27" s="769"/>
      <c r="W27" s="770" t="s">
        <v>370</v>
      </c>
      <c r="X27" s="771" t="s">
        <v>1014</v>
      </c>
      <c r="AA27" s="779" t="s">
        <v>1041</v>
      </c>
      <c r="AB27" s="780" t="s">
        <v>952</v>
      </c>
      <c r="AC27" s="780" t="s">
        <v>414</v>
      </c>
    </row>
    <row r="28" spans="1:29" ht="18" customHeight="1" thickBot="1" x14ac:dyDescent="0.4">
      <c r="A28" s="4" t="s">
        <v>916</v>
      </c>
      <c r="B28" s="565" t="str">
        <f>INDEX('Raw Forecasting NPS Data'!$C$6:$C$166,MATCH('MCODE Final Mapping'!$D28,'Raw Forecasting NPS Data'!$I$6:$I$166,0))</f>
        <v>Keytruda-Lenvima</v>
      </c>
      <c r="C28" s="566" t="str">
        <f>INDEX('Raw Forecasting NPS Data'!$D$6:$D$166,MATCH('MCODE Final Mapping'!$D28,'Raw Forecasting NPS Data'!$I$6:$I$166,0))</f>
        <v>HCC</v>
      </c>
      <c r="D28" s="567" t="s">
        <v>130</v>
      </c>
      <c r="E28" s="568" t="s">
        <v>1133</v>
      </c>
      <c r="F28" s="182" t="s">
        <v>683</v>
      </c>
      <c r="I28" s="130" t="s">
        <v>468</v>
      </c>
      <c r="J28" s="22" t="s">
        <v>141</v>
      </c>
      <c r="K28" s="22" t="s">
        <v>146</v>
      </c>
      <c r="L28" s="140" t="s">
        <v>1141</v>
      </c>
      <c r="R28" s="9" t="s">
        <v>1038</v>
      </c>
      <c r="S28" s="772" t="s">
        <v>1039</v>
      </c>
      <c r="T28" s="768"/>
      <c r="U28" s="767" t="s">
        <v>977</v>
      </c>
      <c r="V28" s="769"/>
      <c r="W28" s="770" t="s">
        <v>370</v>
      </c>
      <c r="X28" s="771" t="s">
        <v>1014</v>
      </c>
      <c r="AA28" s="779" t="s">
        <v>1039</v>
      </c>
      <c r="AB28" s="780" t="s">
        <v>952</v>
      </c>
      <c r="AC28" s="780" t="s">
        <v>361</v>
      </c>
    </row>
    <row r="29" spans="1:29" ht="18" customHeight="1" thickBot="1" x14ac:dyDescent="0.4">
      <c r="A29" s="4" t="s">
        <v>914</v>
      </c>
      <c r="B29" s="569" t="str">
        <f>INDEX('Raw Forecasting NPS Data'!$C$6:$C$166,MATCH('MCODE Final Mapping'!$D29,'Raw Forecasting NPS Data'!$I$6:$I$166,0))</f>
        <v>Keytruda</v>
      </c>
      <c r="C29" s="570" t="str">
        <f>INDEX('Raw Forecasting NPS Data'!$D$6:$D$166,MATCH('MCODE Final Mapping'!$D29,'Raw Forecasting NPS Data'!$I$6:$I$166,0))</f>
        <v>HCC</v>
      </c>
      <c r="D29" s="571" t="s">
        <v>133</v>
      </c>
      <c r="E29" s="572" t="s">
        <v>1133</v>
      </c>
      <c r="I29" s="130" t="s">
        <v>43</v>
      </c>
      <c r="J29" s="22" t="s">
        <v>141</v>
      </c>
      <c r="K29" s="22" t="s">
        <v>149</v>
      </c>
      <c r="L29" s="140" t="s">
        <v>1136</v>
      </c>
      <c r="R29" s="9" t="s">
        <v>1040</v>
      </c>
      <c r="S29" s="772" t="s">
        <v>1041</v>
      </c>
      <c r="T29" s="768"/>
      <c r="U29" s="767" t="s">
        <v>977</v>
      </c>
      <c r="V29" s="769"/>
      <c r="W29" s="770" t="s">
        <v>370</v>
      </c>
      <c r="X29" s="771" t="s">
        <v>1014</v>
      </c>
      <c r="AA29" s="779" t="s">
        <v>1055</v>
      </c>
      <c r="AB29" s="780" t="s">
        <v>952</v>
      </c>
      <c r="AC29" s="780" t="s">
        <v>291</v>
      </c>
    </row>
    <row r="30" spans="1:29" ht="18" customHeight="1" thickBot="1" x14ac:dyDescent="0.4">
      <c r="A30" s="4" t="s">
        <v>914</v>
      </c>
      <c r="B30" s="569" t="str">
        <f>INDEX('Raw Forecasting NPS Data'!$C$6:$C$166,MATCH('MCODE Final Mapping'!$D30,'Raw Forecasting NPS Data'!$I$6:$I$166,0))</f>
        <v>Keytruda</v>
      </c>
      <c r="C30" s="570" t="str">
        <f>INDEX('Raw Forecasting NPS Data'!$D$6:$D$166,MATCH('MCODE Final Mapping'!$D30,'Raw Forecasting NPS Data'!$I$6:$I$166,0))</f>
        <v>HCC</v>
      </c>
      <c r="D30" s="571" t="s">
        <v>136</v>
      </c>
      <c r="E30" s="572" t="s">
        <v>1133</v>
      </c>
      <c r="F30" s="182" t="s">
        <v>684</v>
      </c>
      <c r="I30" s="130" t="s">
        <v>43</v>
      </c>
      <c r="J30" s="22" t="s">
        <v>141</v>
      </c>
      <c r="K30" s="22" t="s">
        <v>153</v>
      </c>
      <c r="L30" s="140" t="s">
        <v>1136</v>
      </c>
      <c r="R30" s="9" t="s">
        <v>1042</v>
      </c>
      <c r="S30" s="772" t="s">
        <v>1043</v>
      </c>
      <c r="T30" s="768"/>
      <c r="U30" s="767" t="s">
        <v>1044</v>
      </c>
      <c r="V30" s="769"/>
      <c r="W30" s="770"/>
      <c r="X30" s="771"/>
      <c r="AA30" s="779" t="s">
        <v>1055</v>
      </c>
      <c r="AB30" s="780" t="s">
        <v>952</v>
      </c>
      <c r="AC30" s="780" t="s">
        <v>298</v>
      </c>
    </row>
    <row r="31" spans="1:29" ht="18" customHeight="1" thickBot="1" x14ac:dyDescent="0.4">
      <c r="A31" s="4" t="s">
        <v>916</v>
      </c>
      <c r="B31" s="315" t="str">
        <f>INDEX('Raw Forecasting NPS Data'!$C$6:$C$166,MATCH('MCODE Final Mapping'!$D31,'Raw Forecasting NPS Data'!$I$6:$I$166,0))</f>
        <v>Lenvima</v>
      </c>
      <c r="C31" s="316" t="str">
        <f>INDEX('Raw Forecasting NPS Data'!$D$6:$D$166,MATCH('MCODE Final Mapping'!$D31,'Raw Forecasting NPS Data'!$I$6:$I$166,0))</f>
        <v>HCC</v>
      </c>
      <c r="D31" s="317" t="s">
        <v>140</v>
      </c>
      <c r="E31" s="318" t="s">
        <v>1137</v>
      </c>
      <c r="I31" s="130" t="s">
        <v>43</v>
      </c>
      <c r="J31" s="22" t="s">
        <v>141</v>
      </c>
      <c r="K31" s="22" t="s">
        <v>156</v>
      </c>
      <c r="L31" s="140" t="s">
        <v>1136</v>
      </c>
      <c r="R31" s="9" t="s">
        <v>1045</v>
      </c>
      <c r="S31" s="772" t="s">
        <v>1046</v>
      </c>
      <c r="T31" s="768"/>
      <c r="U31" s="767" t="s">
        <v>977</v>
      </c>
      <c r="V31" s="769"/>
      <c r="W31" s="770" t="s">
        <v>886</v>
      </c>
      <c r="X31" s="771" t="s">
        <v>1014</v>
      </c>
      <c r="AA31" s="779" t="s">
        <v>1048</v>
      </c>
      <c r="AB31" s="780" t="s">
        <v>952</v>
      </c>
      <c r="AC31" s="780" t="s">
        <v>351</v>
      </c>
    </row>
    <row r="32" spans="1:29" ht="18" customHeight="1" thickBot="1" x14ac:dyDescent="0.4">
      <c r="A32" s="4" t="s">
        <v>915</v>
      </c>
      <c r="B32" s="281" t="str">
        <f>INDEX('Raw Forecasting NPS Data'!$C$6:$C$166,MATCH('MCODE Final Mapping'!$D32,'Raw Forecasting NPS Data'!$I$6:$I$166,0))</f>
        <v>Keytruda-Lenvima</v>
      </c>
      <c r="C32" s="282" t="str">
        <f>INDEX('Raw Forecasting NPS Data'!$D$6:$D$166,MATCH('MCODE Final Mapping'!$D32,'Raw Forecasting NPS Data'!$I$6:$I$166,0))</f>
        <v>Head &amp; Neck</v>
      </c>
      <c r="D32" s="283" t="s">
        <v>143</v>
      </c>
      <c r="E32" s="284" t="s">
        <v>1141</v>
      </c>
      <c r="F32" s="182" t="s">
        <v>682</v>
      </c>
      <c r="I32" s="130" t="s">
        <v>43</v>
      </c>
      <c r="J32" s="22" t="s">
        <v>159</v>
      </c>
      <c r="K32" s="22" t="s">
        <v>163</v>
      </c>
      <c r="L32" s="140" t="s">
        <v>1142</v>
      </c>
      <c r="R32" s="9" t="s">
        <v>1047</v>
      </c>
      <c r="S32" s="772" t="s">
        <v>1048</v>
      </c>
      <c r="T32" s="768"/>
      <c r="U32" s="767" t="s">
        <v>977</v>
      </c>
      <c r="V32" s="769"/>
      <c r="W32" s="770" t="s">
        <v>370</v>
      </c>
      <c r="X32" s="771" t="s">
        <v>1014</v>
      </c>
      <c r="AA32" s="779" t="s">
        <v>373</v>
      </c>
      <c r="AB32" s="780" t="s">
        <v>952</v>
      </c>
      <c r="AC32" s="780" t="s">
        <v>433</v>
      </c>
    </row>
    <row r="33" spans="1:29" ht="18" customHeight="1" thickBot="1" x14ac:dyDescent="0.4">
      <c r="A33" s="4" t="s">
        <v>915</v>
      </c>
      <c r="B33" s="281" t="str">
        <f>INDEX('Raw Forecasting NPS Data'!$C$6:$C$166,MATCH('MCODE Final Mapping'!$D33,'Raw Forecasting NPS Data'!$I$6:$I$166,0))</f>
        <v>Keytruda-Lenvima</v>
      </c>
      <c r="C33" s="282" t="str">
        <f>INDEX('Raw Forecasting NPS Data'!$D$6:$D$166,MATCH('MCODE Final Mapping'!$D33,'Raw Forecasting NPS Data'!$I$6:$I$166,0))</f>
        <v>Head &amp; Neck</v>
      </c>
      <c r="D33" s="283" t="s">
        <v>146</v>
      </c>
      <c r="E33" s="284" t="s">
        <v>1141</v>
      </c>
      <c r="F33" s="182" t="s">
        <v>685</v>
      </c>
      <c r="I33" s="130" t="s">
        <v>43</v>
      </c>
      <c r="J33" s="22" t="s">
        <v>165</v>
      </c>
      <c r="K33" s="22" t="s">
        <v>168</v>
      </c>
      <c r="L33" s="140" t="s">
        <v>1143</v>
      </c>
      <c r="R33" s="9" t="s">
        <v>1049</v>
      </c>
      <c r="S33" s="772" t="s">
        <v>1050</v>
      </c>
      <c r="T33" s="768"/>
      <c r="U33" s="767" t="s">
        <v>977</v>
      </c>
      <c r="V33" s="769"/>
      <c r="W33" s="770" t="s">
        <v>370</v>
      </c>
      <c r="X33" s="771" t="s">
        <v>1014</v>
      </c>
      <c r="AA33" s="779" t="s">
        <v>373</v>
      </c>
      <c r="AB33" s="780" t="s">
        <v>952</v>
      </c>
      <c r="AC33" s="780" t="s">
        <v>301</v>
      </c>
    </row>
    <row r="34" spans="1:29" ht="18" customHeight="1" thickBot="1" x14ac:dyDescent="0.4">
      <c r="A34" s="4" t="s">
        <v>915</v>
      </c>
      <c r="B34" s="186" t="str">
        <f>INDEX('Raw Forecasting NPS Data'!$C$6:$C$166,MATCH('MCODE Final Mapping'!$D34,'Raw Forecasting NPS Data'!$I$6:$I$166,0))</f>
        <v>Keytruda</v>
      </c>
      <c r="C34" s="178" t="str">
        <f>INDEX('Raw Forecasting NPS Data'!$D$6:$D$166,MATCH('MCODE Final Mapping'!$D34,'Raw Forecasting NPS Data'!$I$6:$I$166,0))</f>
        <v>Head &amp; Neck</v>
      </c>
      <c r="D34" s="22" t="s">
        <v>149</v>
      </c>
      <c r="E34" s="140" t="s">
        <v>1136</v>
      </c>
      <c r="I34" s="130" t="s">
        <v>43</v>
      </c>
      <c r="J34" s="22" t="s">
        <v>171</v>
      </c>
      <c r="K34" s="22" t="s">
        <v>173</v>
      </c>
      <c r="L34" s="140" t="s">
        <v>1144</v>
      </c>
      <c r="R34" s="9" t="s">
        <v>1051</v>
      </c>
      <c r="S34" s="772" t="s">
        <v>914</v>
      </c>
      <c r="T34" s="768"/>
      <c r="U34" s="767" t="s">
        <v>977</v>
      </c>
      <c r="V34" s="769"/>
      <c r="W34" s="770" t="s">
        <v>370</v>
      </c>
      <c r="X34" s="771" t="s">
        <v>1027</v>
      </c>
      <c r="AA34" s="779" t="s">
        <v>1073</v>
      </c>
      <c r="AB34" s="780" t="s">
        <v>952</v>
      </c>
      <c r="AC34" s="780" t="s">
        <v>954</v>
      </c>
    </row>
    <row r="35" spans="1:29" ht="18" customHeight="1" thickBot="1" x14ac:dyDescent="0.4">
      <c r="A35" s="4" t="s">
        <v>915</v>
      </c>
      <c r="B35" s="186" t="str">
        <f>INDEX('Raw Forecasting NPS Data'!$C$6:$C$166,MATCH('MCODE Final Mapping'!$D35,'Raw Forecasting NPS Data'!$I$6:$I$166,0))</f>
        <v>Keytruda</v>
      </c>
      <c r="C35" s="178" t="str">
        <f>INDEX('Raw Forecasting NPS Data'!$D$6:$D$166,MATCH('MCODE Final Mapping'!$D35,'Raw Forecasting NPS Data'!$I$6:$I$166,0))</f>
        <v>Head &amp; Neck</v>
      </c>
      <c r="D35" s="22" t="s">
        <v>153</v>
      </c>
      <c r="E35" s="140" t="s">
        <v>1136</v>
      </c>
      <c r="I35" s="130" t="s">
        <v>43</v>
      </c>
      <c r="J35" s="22" t="s">
        <v>175</v>
      </c>
      <c r="K35" s="22" t="s">
        <v>177</v>
      </c>
      <c r="L35" s="140" t="s">
        <v>1144</v>
      </c>
      <c r="R35" s="9" t="s">
        <v>1052</v>
      </c>
      <c r="S35" s="772" t="s">
        <v>1053</v>
      </c>
      <c r="T35" s="768"/>
      <c r="U35" s="767" t="s">
        <v>977</v>
      </c>
      <c r="V35" s="769"/>
      <c r="W35" s="770" t="s">
        <v>371</v>
      </c>
      <c r="X35" s="771" t="s">
        <v>1032</v>
      </c>
      <c r="AA35" s="779" t="s">
        <v>1031</v>
      </c>
      <c r="AB35" s="780" t="s">
        <v>955</v>
      </c>
      <c r="AC35" s="780" t="s">
        <v>325</v>
      </c>
    </row>
    <row r="36" spans="1:29" ht="18" customHeight="1" thickBot="1" x14ac:dyDescent="0.4">
      <c r="A36" s="4" t="s">
        <v>915</v>
      </c>
      <c r="B36" s="186" t="str">
        <f>INDEX('Raw Forecasting NPS Data'!$C$6:$C$166,MATCH('MCODE Final Mapping'!$D36,'Raw Forecasting NPS Data'!$I$6:$I$166,0))</f>
        <v>Keytruda</v>
      </c>
      <c r="C36" s="178" t="str">
        <f>INDEX('Raw Forecasting NPS Data'!$D$6:$D$166,MATCH('MCODE Final Mapping'!$D36,'Raw Forecasting NPS Data'!$I$6:$I$166,0))</f>
        <v>Head &amp; Neck</v>
      </c>
      <c r="D36" s="22" t="s">
        <v>156</v>
      </c>
      <c r="E36" s="140" t="s">
        <v>1136</v>
      </c>
      <c r="F36" s="182" t="s">
        <v>685</v>
      </c>
      <c r="I36" s="130" t="s">
        <v>43</v>
      </c>
      <c r="J36" s="22" t="s">
        <v>179</v>
      </c>
      <c r="K36" s="22" t="s">
        <v>181</v>
      </c>
      <c r="L36" s="140" t="s">
        <v>1144</v>
      </c>
      <c r="R36" s="9" t="s">
        <v>1054</v>
      </c>
      <c r="S36" s="772" t="s">
        <v>1055</v>
      </c>
      <c r="T36" s="768"/>
      <c r="U36" s="767" t="s">
        <v>977</v>
      </c>
      <c r="V36" s="769"/>
      <c r="W36" s="770" t="s">
        <v>371</v>
      </c>
      <c r="X36" s="771" t="s">
        <v>1032</v>
      </c>
      <c r="AA36" s="779" t="s">
        <v>1031</v>
      </c>
      <c r="AB36" s="780" t="s">
        <v>955</v>
      </c>
      <c r="AC36" s="780" t="s">
        <v>329</v>
      </c>
    </row>
    <row r="37" spans="1:29" ht="18" customHeight="1" thickBot="1" x14ac:dyDescent="0.4">
      <c r="A37" s="4" t="s">
        <v>915</v>
      </c>
      <c r="B37" s="281" t="str">
        <f>INDEX('Raw Forecasting NPS Data'!$C$6:$C$166,MATCH('MCODE Final Mapping'!$D37,'Raw Forecasting NPS Data'!$I$6:$I$166,0))</f>
        <v>Keytruda</v>
      </c>
      <c r="C37" s="282" t="str">
        <f>INDEX('Raw Forecasting NPS Data'!$D$6:$D$166,MATCH('MCODE Final Mapping'!$D37,'Raw Forecasting NPS Data'!$I$6:$I$166,0))</f>
        <v>Hodgkins Lymphoma</v>
      </c>
      <c r="D37" s="283" t="s">
        <v>163</v>
      </c>
      <c r="E37" s="284" t="s">
        <v>1142</v>
      </c>
      <c r="F37" s="182" t="s">
        <v>692</v>
      </c>
      <c r="I37" s="130" t="s">
        <v>43</v>
      </c>
      <c r="J37" s="22" t="s">
        <v>179</v>
      </c>
      <c r="K37" s="22" t="s">
        <v>184</v>
      </c>
      <c r="L37" s="140" t="s">
        <v>1144</v>
      </c>
      <c r="R37" s="9" t="s">
        <v>1056</v>
      </c>
      <c r="S37" s="772" t="s">
        <v>1057</v>
      </c>
      <c r="T37" s="768"/>
      <c r="U37" s="767" t="s">
        <v>1044</v>
      </c>
      <c r="V37" s="769"/>
      <c r="W37" s="770"/>
      <c r="X37" s="771"/>
      <c r="AA37" s="779" t="s">
        <v>1081</v>
      </c>
      <c r="AB37" s="780" t="s">
        <v>955</v>
      </c>
      <c r="AC37" s="780" t="s">
        <v>423</v>
      </c>
    </row>
    <row r="38" spans="1:29" ht="18" customHeight="1" thickBot="1" x14ac:dyDescent="0.4">
      <c r="A38" s="287" t="s">
        <v>918</v>
      </c>
      <c r="B38" s="281" t="str">
        <f>INDEX('Raw Forecasting NPS Data'!$C$6:$C$166,MATCH('MCODE Final Mapping'!$D38,'Raw Forecasting NPS Data'!$I$6:$I$166,0))</f>
        <v>Keytruda</v>
      </c>
      <c r="C38" s="282" t="str">
        <f>INDEX('Raw Forecasting NPS Data'!$D$6:$D$166,MATCH('MCODE Final Mapping'!$D38,'Raw Forecasting NPS Data'!$I$6:$I$166,0))</f>
        <v>HR+ HER2- Breast Cancer</v>
      </c>
      <c r="D38" s="283" t="s">
        <v>168</v>
      </c>
      <c r="E38" s="284" t="s">
        <v>1143</v>
      </c>
      <c r="F38" s="287" t="s">
        <v>686</v>
      </c>
      <c r="I38" s="130" t="s">
        <v>43</v>
      </c>
      <c r="J38" s="22" t="s">
        <v>186</v>
      </c>
      <c r="K38" s="22" t="s">
        <v>188</v>
      </c>
      <c r="L38" s="140" t="s">
        <v>1144</v>
      </c>
      <c r="R38" s="9" t="s">
        <v>1058</v>
      </c>
      <c r="S38" s="772" t="s">
        <v>1059</v>
      </c>
      <c r="T38" s="768"/>
      <c r="U38" s="767" t="s">
        <v>977</v>
      </c>
      <c r="V38" s="769"/>
      <c r="W38" s="770" t="s">
        <v>371</v>
      </c>
      <c r="X38" s="771" t="s">
        <v>1032</v>
      </c>
      <c r="AA38" s="779" t="s">
        <v>1059</v>
      </c>
      <c r="AB38" s="780" t="s">
        <v>956</v>
      </c>
      <c r="AC38" s="780" t="s">
        <v>443</v>
      </c>
    </row>
    <row r="39" spans="1:29" ht="18" customHeight="1" thickBot="1" x14ac:dyDescent="0.4">
      <c r="A39" s="4" t="s">
        <v>915</v>
      </c>
      <c r="B39" s="186" t="str">
        <f>INDEX('Raw Forecasting NPS Data'!$C$6:$C$166,MATCH('MCODE Final Mapping'!$D39,'Raw Forecasting NPS Data'!$I$6:$I$166,0))</f>
        <v>Keytruda</v>
      </c>
      <c r="C39" s="178" t="str">
        <f>INDEX('Raw Forecasting NPS Data'!$D$6:$D$166,MATCH('MCODE Final Mapping'!$D39,'Raw Forecasting NPS Data'!$I$6:$I$166,0))</f>
        <v>Melanoma Stage III</v>
      </c>
      <c r="D39" s="22" t="s">
        <v>173</v>
      </c>
      <c r="E39" s="140" t="s">
        <v>1144</v>
      </c>
      <c r="I39" s="130" t="s">
        <v>43</v>
      </c>
      <c r="J39" s="22" t="s">
        <v>190</v>
      </c>
      <c r="K39" s="22" t="s">
        <v>192</v>
      </c>
      <c r="L39" s="140" t="s">
        <v>1145</v>
      </c>
      <c r="R39" s="9" t="s">
        <v>1060</v>
      </c>
      <c r="S39" s="772" t="s">
        <v>1061</v>
      </c>
      <c r="T39" s="768"/>
      <c r="U39" s="767" t="s">
        <v>1044</v>
      </c>
      <c r="V39" s="769"/>
      <c r="W39" s="770"/>
      <c r="X39" s="771"/>
      <c r="AA39" s="779" t="s">
        <v>1035</v>
      </c>
      <c r="AB39" s="780" t="s">
        <v>956</v>
      </c>
      <c r="AC39" s="780" t="s">
        <v>444</v>
      </c>
    </row>
    <row r="40" spans="1:29" ht="18" customHeight="1" thickBot="1" x14ac:dyDescent="0.4">
      <c r="A40" s="4" t="s">
        <v>915</v>
      </c>
      <c r="B40" s="186" t="str">
        <f>INDEX('Raw Forecasting NPS Data'!$C$6:$C$166,MATCH('MCODE Final Mapping'!$D40,'Raw Forecasting NPS Data'!$I$6:$I$166,0))</f>
        <v>Keytruda</v>
      </c>
      <c r="C40" s="178" t="str">
        <f>INDEX('Raw Forecasting NPS Data'!$D$6:$D$166,MATCH('MCODE Final Mapping'!$D40,'Raw Forecasting NPS Data'!$I$6:$I$166,0))</f>
        <v>Melanoma Stage II</v>
      </c>
      <c r="D40" s="22" t="s">
        <v>177</v>
      </c>
      <c r="E40" s="140" t="s">
        <v>1144</v>
      </c>
      <c r="I40" s="130" t="s">
        <v>43</v>
      </c>
      <c r="J40" s="22" t="s">
        <v>194</v>
      </c>
      <c r="K40" s="22" t="s">
        <v>197</v>
      </c>
      <c r="L40" s="140" t="s">
        <v>1146</v>
      </c>
      <c r="R40" s="9" t="s">
        <v>1062</v>
      </c>
      <c r="S40" s="772" t="s">
        <v>1063</v>
      </c>
      <c r="T40" s="768"/>
      <c r="U40" s="767" t="s">
        <v>977</v>
      </c>
      <c r="V40" s="769"/>
      <c r="W40" s="770" t="s">
        <v>371</v>
      </c>
      <c r="X40" s="771" t="s">
        <v>1032</v>
      </c>
      <c r="AA40" s="779" t="s">
        <v>1079</v>
      </c>
      <c r="AB40" s="780" t="s">
        <v>956</v>
      </c>
      <c r="AC40" s="780" t="s">
        <v>422</v>
      </c>
    </row>
    <row r="41" spans="1:29" ht="18" customHeight="1" thickBot="1" x14ac:dyDescent="0.4">
      <c r="A41" s="4" t="s">
        <v>915</v>
      </c>
      <c r="B41" s="186" t="str">
        <f>INDEX('Raw Forecasting NPS Data'!$C$6:$C$166,MATCH('MCODE Final Mapping'!$D41,'Raw Forecasting NPS Data'!$I$6:$I$166,0))</f>
        <v>Keytruda</v>
      </c>
      <c r="C41" s="178" t="str">
        <f>INDEX('Raw Forecasting NPS Data'!$D$6:$D$166,MATCH('MCODE Final Mapping'!$D41,'Raw Forecasting NPS Data'!$I$6:$I$166,0))</f>
        <v>Melanoma</v>
      </c>
      <c r="D41" s="22" t="s">
        <v>181</v>
      </c>
      <c r="E41" s="140" t="s">
        <v>1144</v>
      </c>
      <c r="I41" s="130" t="s">
        <v>43</v>
      </c>
      <c r="J41" s="22" t="s">
        <v>194</v>
      </c>
      <c r="K41" s="22" t="s">
        <v>200</v>
      </c>
      <c r="L41" s="140" t="s">
        <v>1146</v>
      </c>
      <c r="R41" s="9" t="s">
        <v>1064</v>
      </c>
      <c r="S41" s="772" t="s">
        <v>1065</v>
      </c>
      <c r="T41" s="768"/>
      <c r="U41" s="767" t="s">
        <v>1044</v>
      </c>
      <c r="V41" s="769"/>
      <c r="W41" s="770"/>
      <c r="X41" s="771"/>
      <c r="AA41" s="779" t="s">
        <v>1091</v>
      </c>
      <c r="AB41" s="780" t="s">
        <v>956</v>
      </c>
      <c r="AC41" s="780" t="s">
        <v>278</v>
      </c>
    </row>
    <row r="42" spans="1:29" ht="18" customHeight="1" thickBot="1" x14ac:dyDescent="0.4">
      <c r="A42" s="4" t="s">
        <v>915</v>
      </c>
      <c r="B42" s="186" t="str">
        <f>INDEX('Raw Forecasting NPS Data'!$C$6:$C$166,MATCH('MCODE Final Mapping'!$D42,'Raw Forecasting NPS Data'!$I$6:$I$166,0))</f>
        <v>Keytruda</v>
      </c>
      <c r="C42" s="178" t="str">
        <f>INDEX('Raw Forecasting NPS Data'!$D$6:$D$166,MATCH('MCODE Final Mapping'!$D42,'Raw Forecasting NPS Data'!$I$6:$I$166,0))</f>
        <v>Melanoma</v>
      </c>
      <c r="D42" s="22" t="s">
        <v>184</v>
      </c>
      <c r="E42" s="140" t="s">
        <v>1144</v>
      </c>
      <c r="I42" s="130" t="s">
        <v>43</v>
      </c>
      <c r="J42" s="22" t="s">
        <v>201</v>
      </c>
      <c r="K42" s="22" t="s">
        <v>348</v>
      </c>
      <c r="L42" s="140" t="s">
        <v>1147</v>
      </c>
      <c r="R42" s="9" t="s">
        <v>1066</v>
      </c>
      <c r="S42" s="772" t="s">
        <v>1067</v>
      </c>
      <c r="T42" s="768"/>
      <c r="U42" s="767" t="s">
        <v>977</v>
      </c>
      <c r="V42" s="769"/>
      <c r="W42" s="770" t="s">
        <v>371</v>
      </c>
      <c r="X42" s="771" t="s">
        <v>1032</v>
      </c>
      <c r="AA42" s="779" t="s">
        <v>1090</v>
      </c>
      <c r="AB42" s="780" t="s">
        <v>956</v>
      </c>
      <c r="AC42" s="780" t="s">
        <v>362</v>
      </c>
    </row>
    <row r="43" spans="1:29" ht="18" customHeight="1" thickBot="1" x14ac:dyDescent="0.4">
      <c r="A43" s="4" t="s">
        <v>915</v>
      </c>
      <c r="B43" s="186" t="str">
        <f>INDEX('Raw Forecasting NPS Data'!$C$6:$C$166,MATCH('MCODE Final Mapping'!$D43,'Raw Forecasting NPS Data'!$I$6:$I$166,0))</f>
        <v>Keytruda</v>
      </c>
      <c r="C43" s="178" t="str">
        <f>INDEX('Raw Forecasting NPS Data'!$D$6:$D$166,MATCH('MCODE Final Mapping'!$D43,'Raw Forecasting NPS Data'!$I$6:$I$166,0))</f>
        <v>Merkel Cell</v>
      </c>
      <c r="D43" s="22" t="s">
        <v>188</v>
      </c>
      <c r="E43" s="140" t="s">
        <v>1144</v>
      </c>
      <c r="I43" s="130" t="s">
        <v>43</v>
      </c>
      <c r="J43" s="22" t="s">
        <v>201</v>
      </c>
      <c r="K43" s="22" t="s">
        <v>349</v>
      </c>
      <c r="L43" s="140" t="s">
        <v>1147</v>
      </c>
      <c r="R43" s="9" t="s">
        <v>1068</v>
      </c>
      <c r="S43" s="772" t="s">
        <v>917</v>
      </c>
      <c r="T43" s="768"/>
      <c r="U43" s="767" t="s">
        <v>977</v>
      </c>
      <c r="V43" s="769" t="s">
        <v>1069</v>
      </c>
      <c r="W43" s="770" t="s">
        <v>371</v>
      </c>
      <c r="X43" s="771" t="s">
        <v>1032</v>
      </c>
      <c r="AA43" s="779" t="s">
        <v>1006</v>
      </c>
      <c r="AB43" s="780" t="s">
        <v>957</v>
      </c>
      <c r="AC43" s="780" t="s">
        <v>52</v>
      </c>
    </row>
    <row r="44" spans="1:29" ht="18" customHeight="1" x14ac:dyDescent="0.35">
      <c r="A44" s="4" t="s">
        <v>915</v>
      </c>
      <c r="B44" s="186" t="str">
        <f>INDEX('Raw Forecasting NPS Data'!$C$6:$C$166,MATCH('MCODE Final Mapping'!$D44,'Raw Forecasting NPS Data'!$I$6:$I$166,0))</f>
        <v>Keytruda</v>
      </c>
      <c r="C44" s="178" t="str">
        <f>INDEX('Raw Forecasting NPS Data'!$D$6:$D$166,MATCH('MCODE Final Mapping'!$D44,'Raw Forecasting NPS Data'!$I$6:$I$166,0))</f>
        <v>Mesothelioma</v>
      </c>
      <c r="D44" s="22" t="s">
        <v>192</v>
      </c>
      <c r="E44" s="140" t="s">
        <v>1145</v>
      </c>
      <c r="F44" s="182" t="s">
        <v>687</v>
      </c>
      <c r="I44" s="130" t="s">
        <v>43</v>
      </c>
      <c r="J44" s="22" t="s">
        <v>201</v>
      </c>
      <c r="K44" s="22" t="s">
        <v>350</v>
      </c>
      <c r="L44" s="140" t="s">
        <v>1147</v>
      </c>
      <c r="R44" s="9" t="s">
        <v>1070</v>
      </c>
      <c r="S44" s="772" t="s">
        <v>1071</v>
      </c>
      <c r="T44" s="768"/>
      <c r="U44" s="767" t="s">
        <v>977</v>
      </c>
      <c r="V44" s="769"/>
      <c r="W44" s="770" t="s">
        <v>372</v>
      </c>
      <c r="X44" s="771" t="s">
        <v>1027</v>
      </c>
    </row>
    <row r="45" spans="1:29" ht="18" customHeight="1" x14ac:dyDescent="0.35">
      <c r="A45" s="4" t="s">
        <v>915</v>
      </c>
      <c r="B45" s="281" t="str">
        <f>INDEX('Raw Forecasting NPS Data'!$C$6:$C$166,MATCH('MCODE Final Mapping'!$D45,'Raw Forecasting NPS Data'!$I$6:$I$166,0))</f>
        <v>Keytruda</v>
      </c>
      <c r="C45" s="282" t="str">
        <f>INDEX('Raw Forecasting NPS Data'!$D$6:$D$166,MATCH('MCODE Final Mapping'!$D45,'Raw Forecasting NPS Data'!$I$6:$I$166,0))</f>
        <v>Urothelial</v>
      </c>
      <c r="D45" s="283" t="s">
        <v>197</v>
      </c>
      <c r="E45" s="284" t="s">
        <v>1146</v>
      </c>
      <c r="F45" s="182" t="s">
        <v>682</v>
      </c>
      <c r="I45" s="130" t="s">
        <v>43</v>
      </c>
      <c r="J45" s="22" t="s">
        <v>213</v>
      </c>
      <c r="K45" s="22" t="s">
        <v>216</v>
      </c>
      <c r="L45" s="140" t="s">
        <v>1133</v>
      </c>
      <c r="R45" s="9" t="s">
        <v>1072</v>
      </c>
      <c r="S45" s="772" t="s">
        <v>1073</v>
      </c>
      <c r="T45" s="768"/>
      <c r="U45" s="767" t="s">
        <v>977</v>
      </c>
      <c r="V45" s="769"/>
      <c r="W45" s="770" t="s">
        <v>372</v>
      </c>
      <c r="X45" s="771" t="s">
        <v>1027</v>
      </c>
    </row>
    <row r="46" spans="1:29" ht="18" customHeight="1" x14ac:dyDescent="0.35">
      <c r="A46" s="4" t="s">
        <v>915</v>
      </c>
      <c r="B46" s="281" t="str">
        <f>INDEX('Raw Forecasting NPS Data'!$C$6:$C$166,MATCH('MCODE Final Mapping'!$D46,'Raw Forecasting NPS Data'!$I$6:$I$166,0))</f>
        <v>Keytruda</v>
      </c>
      <c r="C46" s="282" t="str">
        <f>INDEX('Raw Forecasting NPS Data'!$D$6:$D$166,MATCH('MCODE Final Mapping'!$D46,'Raw Forecasting NPS Data'!$I$6:$I$166,0))</f>
        <v>Urothelial</v>
      </c>
      <c r="D46" s="283" t="s">
        <v>200</v>
      </c>
      <c r="E46" s="284" t="s">
        <v>1146</v>
      </c>
      <c r="I46" s="130" t="s">
        <v>43</v>
      </c>
      <c r="J46" s="22" t="s">
        <v>218</v>
      </c>
      <c r="K46" s="22" t="s">
        <v>222</v>
      </c>
      <c r="L46" s="140" t="s">
        <v>1148</v>
      </c>
      <c r="R46" s="9" t="s">
        <v>1074</v>
      </c>
      <c r="S46" s="772" t="s">
        <v>1075</v>
      </c>
      <c r="T46" s="768"/>
      <c r="U46" s="767" t="s">
        <v>977</v>
      </c>
      <c r="V46" s="769"/>
      <c r="W46" s="770" t="s">
        <v>372</v>
      </c>
      <c r="X46" s="771" t="s">
        <v>1027</v>
      </c>
    </row>
    <row r="47" spans="1:29" ht="18" customHeight="1" x14ac:dyDescent="0.35">
      <c r="A47" s="4" t="s">
        <v>916</v>
      </c>
      <c r="B47" s="565" t="str">
        <f>INDEX('Raw Forecasting NPS Data'!$C$6:$C$166,MATCH('MCODE Final Mapping'!$D47,'Raw Forecasting NPS Data'!$I$6:$I$166,0))</f>
        <v>Keytruda</v>
      </c>
      <c r="C47" s="566" t="str">
        <f>INDEX('Raw Forecasting NPS Data'!$D$6:$D$166,MATCH('MCODE Final Mapping'!$D47,'Raw Forecasting NPS Data'!$I$6:$I$166,0))</f>
        <v>MIBC</v>
      </c>
      <c r="D47" s="567" t="s">
        <v>205</v>
      </c>
      <c r="E47" s="568" t="s">
        <v>1147</v>
      </c>
      <c r="F47" s="182" t="s">
        <v>688</v>
      </c>
      <c r="I47" s="130" t="s">
        <v>43</v>
      </c>
      <c r="J47" s="22" t="s">
        <v>223</v>
      </c>
      <c r="K47" s="22" t="s">
        <v>225</v>
      </c>
      <c r="L47" s="140" t="s">
        <v>1148</v>
      </c>
      <c r="R47" s="9" t="s">
        <v>1076</v>
      </c>
      <c r="S47" s="772" t="s">
        <v>1077</v>
      </c>
      <c r="T47" s="768"/>
      <c r="U47" s="767" t="s">
        <v>977</v>
      </c>
      <c r="V47" s="769"/>
      <c r="W47" s="770" t="s">
        <v>372</v>
      </c>
      <c r="X47" s="771" t="s">
        <v>1027</v>
      </c>
    </row>
    <row r="48" spans="1:29" ht="18" customHeight="1" x14ac:dyDescent="0.35">
      <c r="A48" s="4" t="s">
        <v>915</v>
      </c>
      <c r="B48" s="186" t="str">
        <f>INDEX('Raw Forecasting NPS Data'!$C$6:$C$166,MATCH('MCODE Final Mapping'!$D48,'Raw Forecasting NPS Data'!$I$6:$I$166,0))</f>
        <v>Keytruda</v>
      </c>
      <c r="C48" s="178" t="str">
        <f>INDEX('Raw Forecasting NPS Data'!$D$6:$D$166,MATCH('MCODE Final Mapping'!$D48,'Raw Forecasting NPS Data'!$I$6:$I$166,0))</f>
        <v>MIBC</v>
      </c>
      <c r="D48" s="22" t="s">
        <v>348</v>
      </c>
      <c r="E48" s="140" t="s">
        <v>1147</v>
      </c>
      <c r="F48" s="182" t="s">
        <v>685</v>
      </c>
      <c r="I48" s="130" t="s">
        <v>43</v>
      </c>
      <c r="J48" s="22" t="s">
        <v>220</v>
      </c>
      <c r="K48" s="22" t="s">
        <v>227</v>
      </c>
      <c r="L48" s="140" t="s">
        <v>1148</v>
      </c>
      <c r="R48" s="9" t="s">
        <v>1078</v>
      </c>
      <c r="S48" s="772" t="s">
        <v>1079</v>
      </c>
      <c r="T48" s="768"/>
      <c r="U48" s="767" t="s">
        <v>977</v>
      </c>
      <c r="V48" s="769"/>
      <c r="W48" s="770" t="s">
        <v>372</v>
      </c>
      <c r="X48" s="771" t="s">
        <v>1027</v>
      </c>
    </row>
    <row r="49" spans="1:24" ht="18" customHeight="1" x14ac:dyDescent="0.35">
      <c r="A49" s="4" t="s">
        <v>915</v>
      </c>
      <c r="B49" s="186" t="str">
        <f>INDEX('Raw Forecasting NPS Data'!$C$6:$C$166,MATCH('MCODE Final Mapping'!$D49,'Raw Forecasting NPS Data'!$I$6:$I$166,0))</f>
        <v>Keytruda</v>
      </c>
      <c r="C49" s="178" t="str">
        <f>INDEX('Raw Forecasting NPS Data'!$D$6:$D$166,MATCH('MCODE Final Mapping'!$D49,'Raw Forecasting NPS Data'!$I$6:$I$166,0))</f>
        <v>MIBC</v>
      </c>
      <c r="D49" s="22" t="s">
        <v>349</v>
      </c>
      <c r="E49" s="140" t="s">
        <v>1147</v>
      </c>
      <c r="F49" s="182" t="s">
        <v>685</v>
      </c>
      <c r="I49" s="130" t="s">
        <v>469</v>
      </c>
      <c r="J49" s="22" t="s">
        <v>229</v>
      </c>
      <c r="K49" s="22" t="s">
        <v>233</v>
      </c>
      <c r="L49" s="140" t="s">
        <v>1145</v>
      </c>
      <c r="R49" s="9" t="s">
        <v>1080</v>
      </c>
      <c r="S49" s="772" t="s">
        <v>1081</v>
      </c>
      <c r="T49" s="768"/>
      <c r="U49" s="767" t="s">
        <v>977</v>
      </c>
      <c r="V49" s="769"/>
      <c r="W49" s="770" t="s">
        <v>372</v>
      </c>
      <c r="X49" s="771" t="s">
        <v>1027</v>
      </c>
    </row>
    <row r="50" spans="1:24" ht="18" customHeight="1" x14ac:dyDescent="0.35">
      <c r="A50" s="4" t="s">
        <v>915</v>
      </c>
      <c r="B50" s="186" t="str">
        <f>INDEX('Raw Forecasting NPS Data'!$C$6:$C$166,MATCH('MCODE Final Mapping'!$D50,'Raw Forecasting NPS Data'!$I$6:$I$166,0))</f>
        <v>Keytruda</v>
      </c>
      <c r="C50" s="178" t="str">
        <f>INDEX('Raw Forecasting NPS Data'!$D$6:$D$166,MATCH('MCODE Final Mapping'!$D50,'Raw Forecasting NPS Data'!$I$6:$I$166,0))</f>
        <v>MIBC</v>
      </c>
      <c r="D50" s="22" t="s">
        <v>350</v>
      </c>
      <c r="E50" s="140" t="s">
        <v>1147</v>
      </c>
      <c r="F50" s="182" t="s">
        <v>685</v>
      </c>
      <c r="I50" s="130" t="s">
        <v>43</v>
      </c>
      <c r="J50" s="22" t="s">
        <v>229</v>
      </c>
      <c r="K50" s="22" t="s">
        <v>244</v>
      </c>
      <c r="L50" s="140" t="s">
        <v>1145</v>
      </c>
      <c r="R50" s="9" t="s">
        <v>1082</v>
      </c>
      <c r="S50" s="772" t="s">
        <v>1083</v>
      </c>
      <c r="T50" s="768"/>
      <c r="U50" s="767" t="s">
        <v>977</v>
      </c>
      <c r="V50" s="769" t="s">
        <v>919</v>
      </c>
      <c r="W50" s="770" t="s">
        <v>373</v>
      </c>
      <c r="X50" s="771" t="s">
        <v>1014</v>
      </c>
    </row>
    <row r="51" spans="1:24" ht="18" customHeight="1" x14ac:dyDescent="0.35">
      <c r="A51" s="4" t="s">
        <v>914</v>
      </c>
      <c r="B51" s="281" t="str">
        <f>INDEX('Raw Forecasting NPS Data'!$C$6:$C$166,MATCH('MCODE Final Mapping'!$D51,'Raw Forecasting NPS Data'!$I$6:$I$166,0))</f>
        <v>Keytruda</v>
      </c>
      <c r="C51" s="282" t="str">
        <f>INDEX('Raw Forecasting NPS Data'!$D$6:$D$166,MATCH('MCODE Final Mapping'!$D51,'Raw Forecasting NPS Data'!$I$6:$I$166,0))</f>
        <v>MSI High Non CRC Non Endo</v>
      </c>
      <c r="D51" s="283" t="s">
        <v>216</v>
      </c>
      <c r="E51" s="284" t="s">
        <v>1133</v>
      </c>
      <c r="I51" s="130" t="s">
        <v>43</v>
      </c>
      <c r="J51" s="22" t="s">
        <v>229</v>
      </c>
      <c r="K51" s="22" t="s">
        <v>250</v>
      </c>
      <c r="L51" s="140" t="s">
        <v>1145</v>
      </c>
      <c r="R51" s="9" t="s">
        <v>1084</v>
      </c>
      <c r="S51" s="772" t="s">
        <v>1085</v>
      </c>
      <c r="T51" s="768"/>
      <c r="U51" s="767" t="s">
        <v>977</v>
      </c>
      <c r="V51" s="769"/>
      <c r="W51" s="770" t="s">
        <v>881</v>
      </c>
      <c r="X51" s="771" t="s">
        <v>1014</v>
      </c>
    </row>
    <row r="52" spans="1:24" ht="18" customHeight="1" x14ac:dyDescent="0.35">
      <c r="A52" s="4" t="s">
        <v>915</v>
      </c>
      <c r="B52" s="281" t="str">
        <f>INDEX('Raw Forecasting NPS Data'!$C$6:$C$166,MATCH('MCODE Final Mapping'!$D52,'Raw Forecasting NPS Data'!$I$6:$I$166,0))</f>
        <v>Keytruda</v>
      </c>
      <c r="C52" s="282" t="str">
        <f>INDEX('Raw Forecasting NPS Data'!$D$6:$D$166,MATCH('MCODE Final Mapping'!$D52,'Raw Forecasting NPS Data'!$I$6:$I$166,0))</f>
        <v>NMIBC BCG Naïve</v>
      </c>
      <c r="D52" s="283" t="s">
        <v>222</v>
      </c>
      <c r="E52" s="284" t="s">
        <v>1148</v>
      </c>
      <c r="F52" s="182" t="s">
        <v>685</v>
      </c>
      <c r="I52" s="130" t="s">
        <v>43</v>
      </c>
      <c r="J52" s="22" t="s">
        <v>229</v>
      </c>
      <c r="K52" s="22" t="s">
        <v>258</v>
      </c>
      <c r="L52" s="140" t="s">
        <v>1145</v>
      </c>
      <c r="R52" s="768"/>
      <c r="S52" s="768"/>
      <c r="T52" s="768"/>
      <c r="U52" s="768"/>
      <c r="V52" s="768"/>
      <c r="W52" s="768"/>
      <c r="X52" s="768"/>
    </row>
    <row r="53" spans="1:24" ht="18" customHeight="1" x14ac:dyDescent="0.35">
      <c r="A53" s="4" t="s">
        <v>915</v>
      </c>
      <c r="B53" s="281" t="str">
        <f>INDEX('Raw Forecasting NPS Data'!$C$6:$C$166,MATCH('MCODE Final Mapping'!$D53,'Raw Forecasting NPS Data'!$I$6:$I$166,0))</f>
        <v>Keytruda</v>
      </c>
      <c r="C53" s="282" t="str">
        <f>INDEX('Raw Forecasting NPS Data'!$D$6:$D$166,MATCH('MCODE Final Mapping'!$D53,'Raw Forecasting NPS Data'!$I$6:$I$166,0))</f>
        <v>NMIBC BCG Persistent</v>
      </c>
      <c r="D53" s="283" t="s">
        <v>225</v>
      </c>
      <c r="E53" s="284" t="s">
        <v>1148</v>
      </c>
      <c r="F53" s="182" t="s">
        <v>685</v>
      </c>
      <c r="I53" s="130" t="s">
        <v>468</v>
      </c>
      <c r="J53" s="22" t="s">
        <v>229</v>
      </c>
      <c r="K53" s="22" t="s">
        <v>261</v>
      </c>
      <c r="L53" s="140" t="s">
        <v>1149</v>
      </c>
      <c r="R53" s="768"/>
      <c r="S53" s="768"/>
      <c r="T53" s="768"/>
      <c r="U53" s="767" t="s">
        <v>1086</v>
      </c>
      <c r="V53" s="769" t="s">
        <v>1087</v>
      </c>
      <c r="W53" s="770" t="s">
        <v>373</v>
      </c>
      <c r="X53" s="771" t="s">
        <v>1014</v>
      </c>
    </row>
    <row r="54" spans="1:24" ht="18" customHeight="1" x14ac:dyDescent="0.35">
      <c r="A54" s="4" t="s">
        <v>915</v>
      </c>
      <c r="B54" s="186" t="str">
        <f>INDEX('Raw Forecasting NPS Data'!$C$6:$C$166,MATCH('MCODE Final Mapping'!$D54,'Raw Forecasting NPS Data'!$I$6:$I$166,0))</f>
        <v>Keytruda</v>
      </c>
      <c r="C54" s="178" t="str">
        <f>INDEX('Raw Forecasting NPS Data'!$D$6:$D$166,MATCH('MCODE Final Mapping'!$D54,'Raw Forecasting NPS Data'!$I$6:$I$166,0))</f>
        <v>NMIBC</v>
      </c>
      <c r="D54" s="22" t="s">
        <v>227</v>
      </c>
      <c r="E54" s="140" t="s">
        <v>1148</v>
      </c>
      <c r="I54" s="130" t="s">
        <v>468</v>
      </c>
      <c r="J54" s="22" t="s">
        <v>229</v>
      </c>
      <c r="K54" s="22" t="s">
        <v>264</v>
      </c>
      <c r="L54" s="140" t="s">
        <v>1149</v>
      </c>
      <c r="R54" s="768"/>
      <c r="S54" s="768"/>
      <c r="T54" s="768"/>
      <c r="U54" s="767" t="s">
        <v>1086</v>
      </c>
      <c r="V54" s="769" t="s">
        <v>1088</v>
      </c>
      <c r="W54" s="770" t="s">
        <v>370</v>
      </c>
      <c r="X54" s="771" t="s">
        <v>984</v>
      </c>
    </row>
    <row r="55" spans="1:24" ht="18" customHeight="1" x14ac:dyDescent="0.35">
      <c r="A55" s="4" t="s">
        <v>915</v>
      </c>
      <c r="B55" s="186" t="str">
        <f>INDEX('Raw Forecasting NPS Data'!$C$6:$C$166,MATCH('MCODE Final Mapping'!$D55,'Raw Forecasting NPS Data'!$I$6:$I$166,0))</f>
        <v>Keytruda-Lynparza</v>
      </c>
      <c r="C55" s="178" t="str">
        <f>INDEX('Raw Forecasting NPS Data'!$D$6:$D$166,MATCH('MCODE Final Mapping'!$D55,'Raw Forecasting NPS Data'!$I$6:$I$166,0))</f>
        <v>NSCLC</v>
      </c>
      <c r="D55" s="22" t="s">
        <v>233</v>
      </c>
      <c r="E55" s="140" t="s">
        <v>1145</v>
      </c>
      <c r="F55" s="182" t="s">
        <v>690</v>
      </c>
      <c r="I55" s="130" t="s">
        <v>43</v>
      </c>
      <c r="J55" s="22" t="s">
        <v>229</v>
      </c>
      <c r="K55" s="22" t="s">
        <v>269</v>
      </c>
      <c r="L55" s="140" t="s">
        <v>1145</v>
      </c>
      <c r="R55" s="768"/>
      <c r="S55" s="768"/>
      <c r="T55" s="768"/>
      <c r="U55" s="767" t="s">
        <v>1086</v>
      </c>
      <c r="V55" s="769" t="s">
        <v>1089</v>
      </c>
      <c r="W55" s="770" t="s">
        <v>983</v>
      </c>
      <c r="X55" s="771" t="s">
        <v>984</v>
      </c>
    </row>
    <row r="56" spans="1:24" ht="18" customHeight="1" x14ac:dyDescent="0.35">
      <c r="A56" s="4" t="s">
        <v>916</v>
      </c>
      <c r="B56" s="565" t="str">
        <f>INDEX('Raw Forecasting NPS Data'!$C$6:$C$166,MATCH('MCODE Final Mapping'!$D56,'Raw Forecasting NPS Data'!$I$6:$I$166,0))</f>
        <v>Keytruda</v>
      </c>
      <c r="C56" s="566" t="str">
        <f>INDEX('Raw Forecasting NPS Data'!$D$6:$D$166,MATCH('MCODE Final Mapping'!$D56,'Raw Forecasting NPS Data'!$I$6:$I$166,0))</f>
        <v>NSCLC</v>
      </c>
      <c r="D56" s="567" t="s">
        <v>239</v>
      </c>
      <c r="E56" s="568" t="s">
        <v>1145</v>
      </c>
      <c r="F56" s="182" t="s">
        <v>689</v>
      </c>
      <c r="I56" s="130" t="s">
        <v>43</v>
      </c>
      <c r="J56" s="22" t="s">
        <v>229</v>
      </c>
      <c r="K56" s="22" t="s">
        <v>272</v>
      </c>
      <c r="L56" s="140" t="s">
        <v>1145</v>
      </c>
      <c r="R56" s="768"/>
      <c r="S56" s="768"/>
      <c r="T56" s="768"/>
      <c r="U56" s="767" t="s">
        <v>1086</v>
      </c>
      <c r="V56" s="769" t="s">
        <v>1090</v>
      </c>
      <c r="W56" s="770" t="s">
        <v>370</v>
      </c>
      <c r="X56" s="771" t="s">
        <v>1032</v>
      </c>
    </row>
    <row r="57" spans="1:24" ht="18" customHeight="1" x14ac:dyDescent="0.35">
      <c r="A57" s="4" t="s">
        <v>915</v>
      </c>
      <c r="B57" s="186" t="str">
        <f>INDEX('Raw Forecasting NPS Data'!$C$6:$C$166,MATCH('MCODE Final Mapping'!$D57,'Raw Forecasting NPS Data'!$I$6:$I$166,0))</f>
        <v>Keytruda</v>
      </c>
      <c r="C57" s="178" t="str">
        <f>INDEX('Raw Forecasting NPS Data'!$D$6:$D$166,MATCH('MCODE Final Mapping'!$D57,'Raw Forecasting NPS Data'!$I$6:$I$166,0))</f>
        <v>NSCLC</v>
      </c>
      <c r="D57" s="22" t="s">
        <v>244</v>
      </c>
      <c r="E57" s="140" t="s">
        <v>1145</v>
      </c>
      <c r="I57" s="130" t="s">
        <v>469</v>
      </c>
      <c r="J57" s="22" t="s">
        <v>274</v>
      </c>
      <c r="K57" s="22" t="s">
        <v>278</v>
      </c>
      <c r="L57" s="140" t="s">
        <v>1150</v>
      </c>
      <c r="R57" s="768"/>
      <c r="S57" s="768"/>
      <c r="T57" s="768"/>
      <c r="U57" s="767" t="s">
        <v>1086</v>
      </c>
      <c r="V57" s="769" t="s">
        <v>1091</v>
      </c>
      <c r="W57" s="770" t="s">
        <v>370</v>
      </c>
      <c r="X57" s="771" t="s">
        <v>1032</v>
      </c>
    </row>
    <row r="58" spans="1:24" ht="18" customHeight="1" x14ac:dyDescent="0.35">
      <c r="A58" s="4" t="s">
        <v>915</v>
      </c>
      <c r="B58" s="186" t="str">
        <f>INDEX('Raw Forecasting NPS Data'!$C$6:$C$166,MATCH('MCODE Final Mapping'!$D58,'Raw Forecasting NPS Data'!$I$6:$I$166,0))</f>
        <v>Keytruda</v>
      </c>
      <c r="C58" s="178" t="str">
        <f>INDEX('Raw Forecasting NPS Data'!$D$6:$D$166,MATCH('MCODE Final Mapping'!$D58,'Raw Forecasting NPS Data'!$I$6:$I$166,0))</f>
        <v>NSCLC</v>
      </c>
      <c r="D58" s="22" t="s">
        <v>250</v>
      </c>
      <c r="E58" s="140" t="s">
        <v>1145</v>
      </c>
      <c r="F58" s="182" t="s">
        <v>685</v>
      </c>
      <c r="I58" s="130" t="s">
        <v>468</v>
      </c>
      <c r="J58" s="22" t="s">
        <v>289</v>
      </c>
      <c r="K58" s="22" t="s">
        <v>291</v>
      </c>
      <c r="L58" s="140" t="s">
        <v>1151</v>
      </c>
    </row>
    <row r="59" spans="1:24" ht="18" customHeight="1" x14ac:dyDescent="0.35">
      <c r="A59" s="4" t="s">
        <v>916</v>
      </c>
      <c r="B59" s="315" t="str">
        <f>INDEX('Raw Forecasting NPS Data'!$C$6:$C$166,MATCH('MCODE Final Mapping'!$D59,'Raw Forecasting NPS Data'!$I$6:$I$166,0))</f>
        <v>New Product</v>
      </c>
      <c r="C59" s="316" t="str">
        <f>INDEX('Raw Forecasting NPS Data'!$D$6:$D$166,MATCH('MCODE Final Mapping'!$D59,'Raw Forecasting NPS Data'!$I$6:$I$166,0))</f>
        <v>NSCLC</v>
      </c>
      <c r="D59" s="317" t="s">
        <v>253</v>
      </c>
      <c r="E59" s="318" t="s">
        <v>1137</v>
      </c>
      <c r="F59" s="182" t="s">
        <v>683</v>
      </c>
      <c r="I59" s="130" t="s">
        <v>43</v>
      </c>
      <c r="J59" s="22" t="s">
        <v>289</v>
      </c>
      <c r="K59" s="22" t="s">
        <v>351</v>
      </c>
      <c r="L59" s="140" t="s">
        <v>1152</v>
      </c>
    </row>
    <row r="60" spans="1:24" ht="18" customHeight="1" x14ac:dyDescent="0.35">
      <c r="A60" s="4" t="s">
        <v>915</v>
      </c>
      <c r="B60" s="186" t="str">
        <f>INDEX('Raw Forecasting NPS Data'!$C$6:$C$166,MATCH('MCODE Final Mapping'!$D60,'Raw Forecasting NPS Data'!$I$6:$I$166,0))</f>
        <v>Keytruda</v>
      </c>
      <c r="C60" s="178" t="str">
        <f>INDEX('Raw Forecasting NPS Data'!$D$6:$D$166,MATCH('MCODE Final Mapping'!$D60,'Raw Forecasting NPS Data'!$I$6:$I$166,0))</f>
        <v>NSCLC</v>
      </c>
      <c r="D60" s="22" t="s">
        <v>258</v>
      </c>
      <c r="E60" s="140" t="s">
        <v>1145</v>
      </c>
      <c r="I60" s="732" t="s">
        <v>470</v>
      </c>
      <c r="J60" s="733" t="s">
        <v>289</v>
      </c>
      <c r="K60" s="733" t="s">
        <v>301</v>
      </c>
      <c r="L60" s="734" t="s">
        <v>1151</v>
      </c>
    </row>
    <row r="61" spans="1:24" ht="18" customHeight="1" x14ac:dyDescent="0.35">
      <c r="A61" s="4" t="s">
        <v>915</v>
      </c>
      <c r="B61" s="186" t="str">
        <f>INDEX('Raw Forecasting NPS Data'!$C$6:$C$166,MATCH('MCODE Final Mapping'!$D61,'Raw Forecasting NPS Data'!$I$6:$I$166,0))</f>
        <v>Keytruda-Lenvima</v>
      </c>
      <c r="C61" s="178" t="str">
        <f>INDEX('Raw Forecasting NPS Data'!$D$6:$D$166,MATCH('MCODE Final Mapping'!$D61,'Raw Forecasting NPS Data'!$I$6:$I$166,0))</f>
        <v>NSCLC</v>
      </c>
      <c r="D61" s="22" t="s">
        <v>261</v>
      </c>
      <c r="E61" s="140" t="s">
        <v>1149</v>
      </c>
      <c r="F61" s="182" t="s">
        <v>682</v>
      </c>
      <c r="I61" s="130" t="s">
        <v>304</v>
      </c>
      <c r="J61" s="22" t="s">
        <v>289</v>
      </c>
      <c r="K61" s="22" t="s">
        <v>306</v>
      </c>
      <c r="L61" s="140" t="s">
        <v>1153</v>
      </c>
    </row>
    <row r="62" spans="1:24" ht="18" customHeight="1" x14ac:dyDescent="0.35">
      <c r="A62" s="4" t="s">
        <v>915</v>
      </c>
      <c r="B62" s="186" t="str">
        <f>INDEX('Raw Forecasting NPS Data'!$C$6:$C$166,MATCH('MCODE Final Mapping'!$D62,'Raw Forecasting NPS Data'!$I$6:$I$166,0))</f>
        <v>Keytruda-Lenvima</v>
      </c>
      <c r="C62" s="178" t="str">
        <f>INDEX('Raw Forecasting NPS Data'!$D$6:$D$166,MATCH('MCODE Final Mapping'!$D62,'Raw Forecasting NPS Data'!$I$6:$I$166,0))</f>
        <v>NSCLC</v>
      </c>
      <c r="D62" s="22" t="s">
        <v>264</v>
      </c>
      <c r="E62" s="140" t="s">
        <v>1149</v>
      </c>
      <c r="F62" s="182" t="s">
        <v>682</v>
      </c>
      <c r="I62" s="130" t="s">
        <v>43</v>
      </c>
      <c r="J62" s="22" t="s">
        <v>320</v>
      </c>
      <c r="K62" s="22" t="s">
        <v>323</v>
      </c>
      <c r="L62" s="140" t="s">
        <v>1143</v>
      </c>
    </row>
    <row r="63" spans="1:24" ht="18" customHeight="1" x14ac:dyDescent="0.35">
      <c r="A63" s="4" t="s">
        <v>915</v>
      </c>
      <c r="B63" s="186" t="str">
        <f>INDEX('Raw Forecasting NPS Data'!$C$6:$C$166,MATCH('MCODE Final Mapping'!$D63,'Raw Forecasting NPS Data'!$I$6:$I$166,0))</f>
        <v>Keytruda</v>
      </c>
      <c r="C63" s="178" t="str">
        <f>INDEX('Raw Forecasting NPS Data'!$D$6:$D$166,MATCH('MCODE Final Mapping'!$D63,'Raw Forecasting NPS Data'!$I$6:$I$166,0))</f>
        <v>NSCLC</v>
      </c>
      <c r="D63" s="22" t="s">
        <v>269</v>
      </c>
      <c r="E63" s="140" t="s">
        <v>1145</v>
      </c>
      <c r="I63" s="130" t="s">
        <v>43</v>
      </c>
      <c r="J63" s="22" t="s">
        <v>320</v>
      </c>
      <c r="K63" s="22" t="s">
        <v>325</v>
      </c>
      <c r="L63" s="140" t="s">
        <v>1143</v>
      </c>
    </row>
    <row r="64" spans="1:24" ht="18" customHeight="1" x14ac:dyDescent="0.35">
      <c r="A64" s="4" t="s">
        <v>915</v>
      </c>
      <c r="B64" s="186" t="str">
        <f>INDEX('Raw Forecasting NPS Data'!$C$6:$C$166,MATCH('MCODE Final Mapping'!$D64,'Raw Forecasting NPS Data'!$I$6:$I$166,0))</f>
        <v>Keytruda</v>
      </c>
      <c r="C64" s="178" t="str">
        <f>INDEX('Raw Forecasting NPS Data'!$D$6:$D$166,MATCH('MCODE Final Mapping'!$D64,'Raw Forecasting NPS Data'!$I$6:$I$166,0))</f>
        <v>NSCLC</v>
      </c>
      <c r="D64" s="22" t="s">
        <v>272</v>
      </c>
      <c r="E64" s="140" t="s">
        <v>1145</v>
      </c>
      <c r="I64" s="130" t="s">
        <v>43</v>
      </c>
      <c r="J64" s="22" t="s">
        <v>320</v>
      </c>
      <c r="K64" s="22" t="s">
        <v>329</v>
      </c>
      <c r="L64" s="140" t="s">
        <v>1143</v>
      </c>
    </row>
    <row r="65" spans="1:12" ht="18" customHeight="1" x14ac:dyDescent="0.35">
      <c r="A65" s="4" t="s">
        <v>915</v>
      </c>
      <c r="B65" s="186" t="str">
        <f>INDEX('Raw Forecasting NPS Data'!$C$6:$C$166,MATCH('MCODE Final Mapping'!$D65,'Raw Forecasting NPS Data'!$I$6:$I$166,0))</f>
        <v>Keytruda-Lynparza</v>
      </c>
      <c r="C65" s="178" t="str">
        <f>INDEX('Raw Forecasting NPS Data'!$D$6:$D$166,MATCH('MCODE Final Mapping'!$D65,'Raw Forecasting NPS Data'!$I$6:$I$166,0))</f>
        <v>Ovarian</v>
      </c>
      <c r="D65" s="22" t="s">
        <v>278</v>
      </c>
      <c r="E65" s="140" t="s">
        <v>1150</v>
      </c>
      <c r="F65" s="182" t="s">
        <v>691</v>
      </c>
      <c r="I65" s="130" t="s">
        <v>43</v>
      </c>
      <c r="J65" s="22" t="s">
        <v>194</v>
      </c>
      <c r="K65" s="22" t="s">
        <v>336</v>
      </c>
      <c r="L65" s="140" t="s">
        <v>1146</v>
      </c>
    </row>
    <row r="66" spans="1:12" ht="18" customHeight="1" x14ac:dyDescent="0.35">
      <c r="A66" s="4" t="s">
        <v>915</v>
      </c>
      <c r="B66" s="186" t="str">
        <f>INDEX('Raw Forecasting NPS Data'!$C$6:$C$166,MATCH('MCODE Final Mapping'!$D66,'Raw Forecasting NPS Data'!$I$6:$I$166,0))</f>
        <v>Keytruda-Lenvima</v>
      </c>
      <c r="C66" s="178" t="str">
        <f>INDEX('Raw Forecasting NPS Data'!$D$6:$D$166,MATCH('MCODE Final Mapping'!$D66,'Raw Forecasting NPS Data'!$I$6:$I$166,0))</f>
        <v>RCC</v>
      </c>
      <c r="D66" s="22" t="s">
        <v>291</v>
      </c>
      <c r="E66" s="140" t="s">
        <v>1151</v>
      </c>
      <c r="I66" s="130" t="s">
        <v>304</v>
      </c>
      <c r="J66" s="22" t="s">
        <v>339</v>
      </c>
      <c r="K66" s="22" t="s">
        <v>342</v>
      </c>
      <c r="L66" s="140" t="s">
        <v>1153</v>
      </c>
    </row>
    <row r="67" spans="1:12" ht="18" customHeight="1" thickBot="1" x14ac:dyDescent="0.4">
      <c r="A67" s="4" t="s">
        <v>915</v>
      </c>
      <c r="B67" s="186" t="str">
        <f>INDEX('Raw Forecasting NPS Data'!$C$6:$C$166,MATCH('MCODE Final Mapping'!$D67,'Raw Forecasting NPS Data'!$I$6:$I$166,0))</f>
        <v>Keytruda</v>
      </c>
      <c r="C67" s="178" t="str">
        <f>INDEX('Raw Forecasting NPS Data'!$D$6:$D$166,MATCH('MCODE Final Mapping'!$D67,'Raw Forecasting NPS Data'!$I$6:$I$166,0))</f>
        <v>RCC</v>
      </c>
      <c r="D67" s="22" t="s">
        <v>351</v>
      </c>
      <c r="E67" s="140" t="s">
        <v>1152</v>
      </c>
      <c r="I67" s="187"/>
      <c r="J67" s="188"/>
      <c r="K67" s="132"/>
      <c r="L67" s="141"/>
    </row>
    <row r="68" spans="1:12" ht="18" customHeight="1" x14ac:dyDescent="0.35">
      <c r="A68" s="4" t="s">
        <v>916</v>
      </c>
      <c r="B68" s="565" t="str">
        <f>INDEX('Raw Forecasting NPS Data'!$C$6:$C$166,MATCH('MCODE Final Mapping'!$D68,'Raw Forecasting NPS Data'!$I$6:$I$166,0))</f>
        <v>Lenvima</v>
      </c>
      <c r="C68" s="566" t="str">
        <f>INDEX('Raw Forecasting NPS Data'!$D$6:$D$166,MATCH('MCODE Final Mapping'!$D68,'Raw Forecasting NPS Data'!$I$6:$I$166,0))</f>
        <v>RCC</v>
      </c>
      <c r="D68" s="567" t="s">
        <v>298</v>
      </c>
      <c r="E68" s="568" t="s">
        <v>1151</v>
      </c>
    </row>
    <row r="69" spans="1:12" ht="18" customHeight="1" x14ac:dyDescent="0.35">
      <c r="A69" s="718" t="s">
        <v>918</v>
      </c>
      <c r="B69" s="186" t="str">
        <f>INDEX('Raw Forecasting NPS Data'!$C$6:$C$166,MATCH('MCODE Final Mapping'!$D69,'Raw Forecasting NPS Data'!$I$6:$I$166,0))</f>
        <v>Welireg-Lenvima</v>
      </c>
      <c r="C69" s="178" t="str">
        <f>INDEX('Raw Forecasting NPS Data'!$D$6:$D$166,MATCH('MCODE Final Mapping'!$D69,'Raw Forecasting NPS Data'!$I$6:$I$166,0))</f>
        <v>RCC</v>
      </c>
      <c r="D69" s="22" t="s">
        <v>301</v>
      </c>
      <c r="E69" s="140" t="s">
        <v>1151</v>
      </c>
      <c r="F69" s="287" t="s">
        <v>693</v>
      </c>
    </row>
    <row r="70" spans="1:12" ht="18" customHeight="1" x14ac:dyDescent="0.35">
      <c r="A70" s="4" t="s">
        <v>919</v>
      </c>
      <c r="B70" s="186" t="str">
        <f>INDEX('Raw Forecasting NPS Data'!$C$6:$C$166,MATCH('MCODE Final Mapping'!$D70,'Raw Forecasting NPS Data'!$I$6:$I$166,0))</f>
        <v>Welireg</v>
      </c>
      <c r="C70" s="178" t="str">
        <f>INDEX('Raw Forecasting NPS Data'!$D$6:$D$166,MATCH('MCODE Final Mapping'!$D70,'Raw Forecasting NPS Data'!$I$6:$I$166,0))</f>
        <v>RCC</v>
      </c>
      <c r="D70" s="22" t="s">
        <v>306</v>
      </c>
      <c r="E70" s="140" t="s">
        <v>1153</v>
      </c>
      <c r="F70" s="182" t="s">
        <v>675</v>
      </c>
    </row>
    <row r="71" spans="1:12" ht="18" customHeight="1" x14ac:dyDescent="0.35">
      <c r="A71" s="4" t="s">
        <v>916</v>
      </c>
      <c r="B71" s="315" t="str">
        <f>INDEX('Raw Forecasting NPS Data'!$C$6:$C$166,MATCH('MCODE Final Mapping'!$D71,'Raw Forecasting NPS Data'!$I$6:$I$166,0))</f>
        <v>Keytruda</v>
      </c>
      <c r="C71" s="316" t="str">
        <f>INDEX('Raw Forecasting NPS Data'!$D$6:$D$166,MATCH('MCODE Final Mapping'!$D71,'Raw Forecasting NPS Data'!$I$6:$I$166,0))</f>
        <v>SCLC</v>
      </c>
      <c r="D71" s="317" t="s">
        <v>313</v>
      </c>
      <c r="E71" s="318" t="s">
        <v>1137</v>
      </c>
      <c r="F71" s="182" t="s">
        <v>694</v>
      </c>
    </row>
    <row r="72" spans="1:12" ht="18" customHeight="1" x14ac:dyDescent="0.35">
      <c r="A72" s="4" t="s">
        <v>915</v>
      </c>
      <c r="B72" s="186" t="str">
        <f>INDEX('Raw Forecasting NPS Data'!$C$6:$C$166,MATCH('MCODE Final Mapping'!$D72,'Raw Forecasting NPS Data'!$I$6:$I$166,0))</f>
        <v>Keytruda</v>
      </c>
      <c r="C72" s="178" t="str">
        <f>INDEX('Raw Forecasting NPS Data'!$D$6:$D$166,MATCH('MCODE Final Mapping'!$D72,'Raw Forecasting NPS Data'!$I$6:$I$166,0))</f>
        <v>TNBC</v>
      </c>
      <c r="D72" s="22" t="s">
        <v>323</v>
      </c>
      <c r="E72" s="140" t="s">
        <v>1143</v>
      </c>
      <c r="F72" s="182" t="s">
        <v>685</v>
      </c>
    </row>
    <row r="73" spans="1:12" ht="18" customHeight="1" x14ac:dyDescent="0.35">
      <c r="A73" s="4" t="s">
        <v>915</v>
      </c>
      <c r="B73" s="186" t="str">
        <f>INDEX('Raw Forecasting NPS Data'!$C$6:$C$166,MATCH('MCODE Final Mapping'!$D73,'Raw Forecasting NPS Data'!$I$6:$I$166,0))</f>
        <v>Keytruda</v>
      </c>
      <c r="C73" s="178" t="str">
        <f>INDEX('Raw Forecasting NPS Data'!$D$6:$D$166,MATCH('MCODE Final Mapping'!$D73,'Raw Forecasting NPS Data'!$I$6:$I$166,0))</f>
        <v>TNBC</v>
      </c>
      <c r="D73" s="22" t="s">
        <v>325</v>
      </c>
      <c r="E73" s="140" t="s">
        <v>1143</v>
      </c>
    </row>
    <row r="74" spans="1:12" ht="18" customHeight="1" x14ac:dyDescent="0.35">
      <c r="A74" s="4" t="s">
        <v>915</v>
      </c>
      <c r="B74" s="186" t="str">
        <f>INDEX('Raw Forecasting NPS Data'!$C$6:$C$166,MATCH('MCODE Final Mapping'!$D74,'Raw Forecasting NPS Data'!$I$6:$I$166,0))</f>
        <v>Keytruda</v>
      </c>
      <c r="C74" s="178" t="str">
        <f>INDEX('Raw Forecasting NPS Data'!$D$6:$D$166,MATCH('MCODE Final Mapping'!$D74,'Raw Forecasting NPS Data'!$I$6:$I$166,0))</f>
        <v>TNBC</v>
      </c>
      <c r="D74" s="22" t="s">
        <v>329</v>
      </c>
      <c r="E74" s="140" t="s">
        <v>1143</v>
      </c>
      <c r="F74" s="182" t="s">
        <v>696</v>
      </c>
    </row>
    <row r="75" spans="1:12" ht="18" customHeight="1" x14ac:dyDescent="0.35">
      <c r="A75" s="4" t="s">
        <v>915</v>
      </c>
      <c r="B75" s="186" t="str">
        <f>INDEX('Raw Forecasting NPS Data'!$C$6:$C$166,MATCH('MCODE Final Mapping'!$D75,'Raw Forecasting NPS Data'!$I$6:$I$166,0))</f>
        <v>Keytruda</v>
      </c>
      <c r="C75" s="178" t="str">
        <f>INDEX('Raw Forecasting NPS Data'!$D$6:$D$166,MATCH('MCODE Final Mapping'!$D75,'Raw Forecasting NPS Data'!$I$6:$I$166,0))</f>
        <v>Urothelial</v>
      </c>
      <c r="D75" s="22" t="s">
        <v>336</v>
      </c>
      <c r="E75" s="140" t="s">
        <v>1146</v>
      </c>
    </row>
    <row r="76" spans="1:12" ht="18" customHeight="1" thickBot="1" x14ac:dyDescent="0.4">
      <c r="A76" s="4" t="s">
        <v>919</v>
      </c>
      <c r="B76" s="187" t="str">
        <f>INDEX('Raw Forecasting NPS Data'!$C$6:$C$166,MATCH('MCODE Final Mapping'!$D76,'Raw Forecasting NPS Data'!$I$6:$I$166,0))</f>
        <v>Welireg</v>
      </c>
      <c r="C76" s="188" t="str">
        <f>INDEX('Raw Forecasting NPS Data'!$D$6:$D$166,MATCH('MCODE Final Mapping'!$D76,'Raw Forecasting NPS Data'!$I$6:$I$166,0))</f>
        <v>VHL</v>
      </c>
      <c r="D76" s="132" t="s">
        <v>342</v>
      </c>
      <c r="E76" s="141" t="s">
        <v>1153</v>
      </c>
    </row>
    <row r="82" spans="6:6" x14ac:dyDescent="0.35">
      <c r="F82" s="182" t="s">
        <v>695</v>
      </c>
    </row>
  </sheetData>
  <autoFilter ref="B5:E76" xr:uid="{5B568855-8D6C-412D-845F-FCF930DA9959}"/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993A-260B-4406-B7DE-16E2CC02D95E}">
  <sheetPr>
    <tabColor theme="4" tint="0.39997558519241921"/>
  </sheetPr>
  <dimension ref="B2:I75"/>
  <sheetViews>
    <sheetView topLeftCell="A5" zoomScaleNormal="100" workbookViewId="0">
      <selection activeCell="P87" sqref="P87"/>
    </sheetView>
  </sheetViews>
  <sheetFormatPr defaultRowHeight="14.5" x14ac:dyDescent="0.35"/>
  <cols>
    <col min="1" max="1" width="5.90625" customWidth="1"/>
    <col min="2" max="2" width="34.54296875" bestFit="1" customWidth="1"/>
    <col min="3" max="3" width="27.7265625" style="176" customWidth="1"/>
    <col min="4" max="5" width="28.08984375" customWidth="1"/>
    <col min="6" max="6" width="25.08984375" bestFit="1" customWidth="1"/>
    <col min="7" max="7" width="42.1796875" bestFit="1" customWidth="1"/>
    <col min="8" max="8" width="48.6328125" bestFit="1" customWidth="1"/>
    <col min="9" max="9" width="12.54296875" bestFit="1" customWidth="1"/>
  </cols>
  <sheetData>
    <row r="2" spans="2:9" x14ac:dyDescent="0.35">
      <c r="B2" s="174" t="s">
        <v>462</v>
      </c>
      <c r="C2" s="895" t="s">
        <v>457</v>
      </c>
    </row>
    <row r="3" spans="2:9" ht="15" thickBot="1" x14ac:dyDescent="0.4">
      <c r="B3" t="s">
        <v>358</v>
      </c>
      <c r="C3" s="176">
        <v>0</v>
      </c>
    </row>
    <row r="4" spans="2:9" ht="15.5" x14ac:dyDescent="0.35">
      <c r="B4" t="s">
        <v>1190</v>
      </c>
      <c r="C4" s="176">
        <v>2</v>
      </c>
      <c r="F4" s="816" t="s">
        <v>0</v>
      </c>
      <c r="G4" s="817" t="s">
        <v>357</v>
      </c>
      <c r="H4" s="817" t="s">
        <v>5</v>
      </c>
      <c r="I4" s="896" t="s">
        <v>1191</v>
      </c>
    </row>
    <row r="5" spans="2:9" x14ac:dyDescent="0.35">
      <c r="B5" t="s">
        <v>1192</v>
      </c>
      <c r="C5" s="176">
        <v>0</v>
      </c>
      <c r="F5" s="416" t="s">
        <v>22</v>
      </c>
      <c r="G5" s="417" t="s">
        <v>1133</v>
      </c>
      <c r="H5" s="417" t="s">
        <v>27</v>
      </c>
      <c r="I5" s="418">
        <v>0</v>
      </c>
    </row>
    <row r="6" spans="2:9" x14ac:dyDescent="0.35">
      <c r="B6" t="s">
        <v>1193</v>
      </c>
      <c r="C6" s="176">
        <v>1</v>
      </c>
      <c r="F6" s="416" t="s">
        <v>33</v>
      </c>
      <c r="G6" s="417" t="s">
        <v>1134</v>
      </c>
      <c r="H6" s="417" t="s">
        <v>344</v>
      </c>
      <c r="I6" s="418">
        <v>1</v>
      </c>
    </row>
    <row r="7" spans="2:9" x14ac:dyDescent="0.35">
      <c r="B7" t="s">
        <v>188</v>
      </c>
      <c r="C7" s="176">
        <v>0</v>
      </c>
      <c r="F7" s="416" t="s">
        <v>33</v>
      </c>
      <c r="G7" s="417" t="s">
        <v>1134</v>
      </c>
      <c r="H7" s="417" t="s">
        <v>345</v>
      </c>
      <c r="I7" s="418">
        <v>0</v>
      </c>
    </row>
    <row r="8" spans="2:9" x14ac:dyDescent="0.35">
      <c r="B8" t="s">
        <v>1194</v>
      </c>
      <c r="C8" s="176">
        <v>0</v>
      </c>
      <c r="F8" s="416" t="s">
        <v>33</v>
      </c>
      <c r="G8" s="417" t="s">
        <v>1134</v>
      </c>
      <c r="H8" s="417" t="s">
        <v>346</v>
      </c>
      <c r="I8" s="418">
        <v>0</v>
      </c>
    </row>
    <row r="9" spans="2:9" x14ac:dyDescent="0.35">
      <c r="B9" t="s">
        <v>1195</v>
      </c>
      <c r="C9" s="176">
        <v>0</v>
      </c>
      <c r="F9" s="416" t="s">
        <v>48</v>
      </c>
      <c r="G9" s="417" t="s">
        <v>1135</v>
      </c>
      <c r="H9" s="417" t="s">
        <v>52</v>
      </c>
      <c r="I9" s="418">
        <v>0</v>
      </c>
    </row>
    <row r="10" spans="2:9" x14ac:dyDescent="0.35">
      <c r="B10" t="s">
        <v>136</v>
      </c>
      <c r="C10" s="176">
        <v>1</v>
      </c>
      <c r="F10" s="416" t="s">
        <v>48</v>
      </c>
      <c r="G10" s="417" t="s">
        <v>1133</v>
      </c>
      <c r="H10" s="417" t="s">
        <v>55</v>
      </c>
      <c r="I10" s="418">
        <v>0</v>
      </c>
    </row>
    <row r="11" spans="2:9" x14ac:dyDescent="0.35">
      <c r="B11" t="s">
        <v>27</v>
      </c>
      <c r="C11" s="176">
        <v>0</v>
      </c>
      <c r="F11" s="416" t="s">
        <v>48</v>
      </c>
      <c r="G11" s="417" t="s">
        <v>1133</v>
      </c>
      <c r="H11" s="417" t="s">
        <v>59</v>
      </c>
      <c r="I11" s="418">
        <v>0</v>
      </c>
    </row>
    <row r="12" spans="2:9" x14ac:dyDescent="0.35">
      <c r="B12" t="s">
        <v>1196</v>
      </c>
      <c r="C12" s="176">
        <v>0</v>
      </c>
      <c r="F12" s="416" t="s">
        <v>62</v>
      </c>
      <c r="G12" s="417" t="s">
        <v>1136</v>
      </c>
      <c r="H12" s="417" t="s">
        <v>64</v>
      </c>
      <c r="I12" s="418">
        <v>0</v>
      </c>
    </row>
    <row r="13" spans="2:9" x14ac:dyDescent="0.35">
      <c r="B13" t="s">
        <v>1197</v>
      </c>
      <c r="C13" s="176">
        <v>0</v>
      </c>
      <c r="F13" s="416" t="s">
        <v>67</v>
      </c>
      <c r="G13" s="417" t="s">
        <v>32</v>
      </c>
      <c r="H13" s="417" t="s">
        <v>70</v>
      </c>
      <c r="I13" s="418">
        <v>0</v>
      </c>
    </row>
    <row r="14" spans="2:9" x14ac:dyDescent="0.35">
      <c r="B14" t="s">
        <v>1198</v>
      </c>
      <c r="C14" s="176">
        <v>0</v>
      </c>
      <c r="F14" s="416" t="s">
        <v>74</v>
      </c>
      <c r="G14" s="417" t="s">
        <v>1138</v>
      </c>
      <c r="H14" s="417" t="s">
        <v>77</v>
      </c>
      <c r="I14" s="418">
        <v>0</v>
      </c>
    </row>
    <row r="15" spans="2:9" x14ac:dyDescent="0.35">
      <c r="B15" t="s">
        <v>64</v>
      </c>
      <c r="C15" s="176">
        <v>0</v>
      </c>
      <c r="F15" s="416" t="s">
        <v>74</v>
      </c>
      <c r="G15" s="417" t="s">
        <v>1138</v>
      </c>
      <c r="H15" s="417" t="s">
        <v>347</v>
      </c>
      <c r="I15" s="418">
        <v>0</v>
      </c>
    </row>
    <row r="16" spans="2:9" x14ac:dyDescent="0.35">
      <c r="B16" t="s">
        <v>359</v>
      </c>
      <c r="C16" s="176">
        <v>0</v>
      </c>
      <c r="F16" s="416" t="s">
        <v>74</v>
      </c>
      <c r="G16" s="417" t="s">
        <v>1139</v>
      </c>
      <c r="H16" s="417" t="s">
        <v>86</v>
      </c>
      <c r="I16" s="418">
        <v>0</v>
      </c>
    </row>
    <row r="17" spans="2:9" x14ac:dyDescent="0.35">
      <c r="B17" t="s">
        <v>360</v>
      </c>
      <c r="C17" s="176">
        <v>0</v>
      </c>
      <c r="F17" s="416" t="s">
        <v>74</v>
      </c>
      <c r="G17" s="417" t="s">
        <v>1138</v>
      </c>
      <c r="H17" s="417" t="s">
        <v>93</v>
      </c>
      <c r="I17" s="418">
        <v>0</v>
      </c>
    </row>
    <row r="18" spans="2:9" x14ac:dyDescent="0.35">
      <c r="B18" t="s">
        <v>1199</v>
      </c>
      <c r="C18" s="176">
        <v>0</v>
      </c>
      <c r="F18" s="416" t="s">
        <v>74</v>
      </c>
      <c r="G18" s="417" t="s">
        <v>1138</v>
      </c>
      <c r="H18" s="417" t="s">
        <v>96</v>
      </c>
      <c r="I18" s="418">
        <v>0</v>
      </c>
    </row>
    <row r="19" spans="2:9" x14ac:dyDescent="0.35">
      <c r="B19" t="s">
        <v>361</v>
      </c>
      <c r="C19" s="176">
        <v>1</v>
      </c>
      <c r="F19" s="416" t="s">
        <v>99</v>
      </c>
      <c r="G19" s="417" t="s">
        <v>32</v>
      </c>
      <c r="H19" s="417" t="s">
        <v>102</v>
      </c>
      <c r="I19" s="418">
        <v>0</v>
      </c>
    </row>
    <row r="20" spans="2:9" x14ac:dyDescent="0.35">
      <c r="B20" t="s">
        <v>351</v>
      </c>
      <c r="C20" s="176">
        <v>1</v>
      </c>
      <c r="F20" s="416" t="s">
        <v>99</v>
      </c>
      <c r="G20" s="417" t="s">
        <v>32</v>
      </c>
      <c r="H20" s="417" t="s">
        <v>106</v>
      </c>
      <c r="I20" s="418">
        <v>0</v>
      </c>
    </row>
    <row r="21" spans="2:9" x14ac:dyDescent="0.35">
      <c r="B21" t="s">
        <v>325</v>
      </c>
      <c r="C21" s="176">
        <v>0</v>
      </c>
      <c r="F21" s="416" t="s">
        <v>99</v>
      </c>
      <c r="G21" s="417" t="s">
        <v>1133</v>
      </c>
      <c r="H21" s="417" t="s">
        <v>108</v>
      </c>
      <c r="I21" s="418">
        <v>0</v>
      </c>
    </row>
    <row r="22" spans="2:9" x14ac:dyDescent="0.35">
      <c r="B22" t="s">
        <v>1200</v>
      </c>
      <c r="C22" s="176">
        <v>1</v>
      </c>
      <c r="F22" s="416" t="s">
        <v>99</v>
      </c>
      <c r="G22" s="417" t="s">
        <v>1133</v>
      </c>
      <c r="H22" s="417" t="s">
        <v>110</v>
      </c>
      <c r="I22" s="418">
        <v>0</v>
      </c>
    </row>
    <row r="23" spans="2:9" x14ac:dyDescent="0.35">
      <c r="B23" t="s">
        <v>1201</v>
      </c>
      <c r="C23" s="176">
        <v>0</v>
      </c>
      <c r="F23" s="416" t="s">
        <v>115</v>
      </c>
      <c r="G23" s="417" t="s">
        <v>1156</v>
      </c>
      <c r="H23" s="417" t="s">
        <v>118</v>
      </c>
      <c r="I23" s="418">
        <v>0</v>
      </c>
    </row>
    <row r="24" spans="2:9" x14ac:dyDescent="0.35">
      <c r="B24" t="s">
        <v>1202</v>
      </c>
      <c r="C24" s="176">
        <v>0</v>
      </c>
      <c r="F24" s="416" t="s">
        <v>115</v>
      </c>
      <c r="G24" s="417" t="s">
        <v>1133</v>
      </c>
      <c r="H24" s="417" t="s">
        <v>122</v>
      </c>
      <c r="I24" s="418">
        <v>0</v>
      </c>
    </row>
    <row r="25" spans="2:9" x14ac:dyDescent="0.35">
      <c r="B25" t="s">
        <v>362</v>
      </c>
      <c r="C25" s="176">
        <v>0</v>
      </c>
      <c r="F25" s="416" t="s">
        <v>115</v>
      </c>
      <c r="G25" s="417" t="s">
        <v>1133</v>
      </c>
      <c r="H25" s="417" t="s">
        <v>124</v>
      </c>
      <c r="I25" s="418">
        <v>0</v>
      </c>
    </row>
    <row r="26" spans="2:9" x14ac:dyDescent="0.35">
      <c r="B26" t="s">
        <v>1203</v>
      </c>
      <c r="C26" s="176">
        <v>1</v>
      </c>
      <c r="F26" s="416" t="s">
        <v>115</v>
      </c>
      <c r="G26" s="417" t="s">
        <v>1133</v>
      </c>
      <c r="H26" s="417" t="s">
        <v>126</v>
      </c>
      <c r="I26" s="418">
        <v>0</v>
      </c>
    </row>
    <row r="27" spans="2:9" x14ac:dyDescent="0.35">
      <c r="B27" t="s">
        <v>1204</v>
      </c>
      <c r="C27" s="176">
        <v>0</v>
      </c>
      <c r="F27" s="416" t="s">
        <v>127</v>
      </c>
      <c r="G27" s="417" t="s">
        <v>32</v>
      </c>
      <c r="H27" s="417" t="s">
        <v>130</v>
      </c>
      <c r="I27" s="418">
        <v>0</v>
      </c>
    </row>
    <row r="28" spans="2:9" x14ac:dyDescent="0.35">
      <c r="B28" t="s">
        <v>1205</v>
      </c>
      <c r="C28" s="176">
        <v>0</v>
      </c>
      <c r="F28" s="416" t="s">
        <v>127</v>
      </c>
      <c r="G28" s="417" t="s">
        <v>1133</v>
      </c>
      <c r="H28" s="417" t="s">
        <v>133</v>
      </c>
      <c r="I28" s="418">
        <v>0</v>
      </c>
    </row>
    <row r="29" spans="2:9" x14ac:dyDescent="0.35">
      <c r="B29" t="s">
        <v>443</v>
      </c>
      <c r="C29" s="176">
        <v>0</v>
      </c>
      <c r="F29" s="416" t="s">
        <v>127</v>
      </c>
      <c r="G29" s="417" t="s">
        <v>1133</v>
      </c>
      <c r="H29" s="417" t="s">
        <v>136</v>
      </c>
      <c r="I29" s="418">
        <v>1</v>
      </c>
    </row>
    <row r="30" spans="2:9" x14ac:dyDescent="0.35">
      <c r="B30" t="s">
        <v>1206</v>
      </c>
      <c r="C30" s="176">
        <v>0</v>
      </c>
      <c r="F30" s="416" t="s">
        <v>127</v>
      </c>
      <c r="G30" s="417" t="s">
        <v>32</v>
      </c>
      <c r="H30" s="417" t="s">
        <v>140</v>
      </c>
      <c r="I30" s="418">
        <v>0</v>
      </c>
    </row>
    <row r="31" spans="2:9" x14ac:dyDescent="0.35">
      <c r="B31" t="s">
        <v>130</v>
      </c>
      <c r="C31" s="176">
        <v>0</v>
      </c>
      <c r="F31" s="416" t="s">
        <v>141</v>
      </c>
      <c r="G31" s="417" t="s">
        <v>1141</v>
      </c>
      <c r="H31" s="417" t="s">
        <v>143</v>
      </c>
      <c r="I31" s="418">
        <v>0</v>
      </c>
    </row>
    <row r="32" spans="2:9" x14ac:dyDescent="0.35">
      <c r="B32" t="s">
        <v>1207</v>
      </c>
      <c r="C32" s="176">
        <v>0</v>
      </c>
      <c r="F32" s="416" t="s">
        <v>141</v>
      </c>
      <c r="G32" s="417" t="s">
        <v>1141</v>
      </c>
      <c r="H32" s="417" t="s">
        <v>146</v>
      </c>
      <c r="I32" s="418">
        <v>0</v>
      </c>
    </row>
    <row r="33" spans="2:9" x14ac:dyDescent="0.35">
      <c r="B33" t="s">
        <v>1208</v>
      </c>
      <c r="C33" s="176">
        <v>0</v>
      </c>
      <c r="F33" s="416" t="s">
        <v>141</v>
      </c>
      <c r="G33" s="417" t="s">
        <v>1136</v>
      </c>
      <c r="H33" s="417" t="s">
        <v>149</v>
      </c>
      <c r="I33" s="418">
        <v>0</v>
      </c>
    </row>
    <row r="34" spans="2:9" x14ac:dyDescent="0.35">
      <c r="B34" t="s">
        <v>1209</v>
      </c>
      <c r="C34" s="176">
        <v>0</v>
      </c>
      <c r="F34" s="416" t="s">
        <v>141</v>
      </c>
      <c r="G34" s="417" t="s">
        <v>1136</v>
      </c>
      <c r="H34" s="417" t="s">
        <v>153</v>
      </c>
      <c r="I34" s="418">
        <v>0</v>
      </c>
    </row>
    <row r="35" spans="2:9" x14ac:dyDescent="0.35">
      <c r="B35" t="s">
        <v>1210</v>
      </c>
      <c r="C35" s="176">
        <v>0</v>
      </c>
      <c r="F35" s="416" t="s">
        <v>141</v>
      </c>
      <c r="G35" s="417" t="s">
        <v>1136</v>
      </c>
      <c r="H35" s="417" t="s">
        <v>156</v>
      </c>
      <c r="I35" s="418">
        <v>1</v>
      </c>
    </row>
    <row r="36" spans="2:9" x14ac:dyDescent="0.35">
      <c r="B36" t="s">
        <v>424</v>
      </c>
      <c r="C36" s="176">
        <v>0</v>
      </c>
      <c r="F36" s="416" t="s">
        <v>159</v>
      </c>
      <c r="G36" s="417" t="s">
        <v>1142</v>
      </c>
      <c r="H36" s="417" t="s">
        <v>163</v>
      </c>
      <c r="I36" s="418">
        <v>0</v>
      </c>
    </row>
    <row r="37" spans="2:9" x14ac:dyDescent="0.35">
      <c r="B37" t="s">
        <v>954</v>
      </c>
      <c r="C37" s="176">
        <v>1</v>
      </c>
      <c r="F37" s="416" t="s">
        <v>165</v>
      </c>
      <c r="G37" s="417" t="s">
        <v>1143</v>
      </c>
      <c r="H37" s="417" t="s">
        <v>168</v>
      </c>
      <c r="I37" s="418">
        <v>0</v>
      </c>
    </row>
    <row r="38" spans="2:9" x14ac:dyDescent="0.35">
      <c r="B38" t="s">
        <v>423</v>
      </c>
      <c r="C38" s="176">
        <v>0</v>
      </c>
      <c r="F38" s="416" t="s">
        <v>171</v>
      </c>
      <c r="G38" s="417" t="s">
        <v>1144</v>
      </c>
      <c r="H38" s="417" t="s">
        <v>173</v>
      </c>
      <c r="I38" s="418">
        <v>1</v>
      </c>
    </row>
    <row r="39" spans="2:9" x14ac:dyDescent="0.35">
      <c r="B39" t="s">
        <v>422</v>
      </c>
      <c r="C39" s="176">
        <v>0</v>
      </c>
      <c r="F39" s="416" t="s">
        <v>175</v>
      </c>
      <c r="G39" s="417" t="s">
        <v>1144</v>
      </c>
      <c r="H39" s="417" t="s">
        <v>177</v>
      </c>
      <c r="I39" s="418">
        <v>1</v>
      </c>
    </row>
    <row r="40" spans="2:9" x14ac:dyDescent="0.35">
      <c r="B40" t="s">
        <v>250</v>
      </c>
      <c r="C40" s="176">
        <v>0</v>
      </c>
      <c r="F40" s="416" t="s">
        <v>179</v>
      </c>
      <c r="G40" s="417" t="s">
        <v>1144</v>
      </c>
      <c r="H40" s="417" t="s">
        <v>181</v>
      </c>
      <c r="I40" s="418">
        <v>0</v>
      </c>
    </row>
    <row r="41" spans="2:9" x14ac:dyDescent="0.35">
      <c r="B41" t="s">
        <v>192</v>
      </c>
      <c r="C41" s="176">
        <v>0</v>
      </c>
      <c r="F41" s="416" t="s">
        <v>179</v>
      </c>
      <c r="G41" s="417" t="s">
        <v>1144</v>
      </c>
      <c r="H41" s="417" t="s">
        <v>184</v>
      </c>
      <c r="I41" s="418">
        <v>0</v>
      </c>
    </row>
    <row r="42" spans="2:9" x14ac:dyDescent="0.35">
      <c r="B42" t="s">
        <v>313</v>
      </c>
      <c r="C42" s="176">
        <v>0</v>
      </c>
      <c r="F42" s="416" t="s">
        <v>186</v>
      </c>
      <c r="G42" s="417" t="s">
        <v>1144</v>
      </c>
      <c r="H42" s="417" t="s">
        <v>188</v>
      </c>
      <c r="I42" s="418">
        <v>0</v>
      </c>
    </row>
    <row r="43" spans="2:9" x14ac:dyDescent="0.35">
      <c r="B43" t="s">
        <v>1094</v>
      </c>
      <c r="C43" s="176">
        <v>0</v>
      </c>
      <c r="F43" s="416" t="s">
        <v>190</v>
      </c>
      <c r="G43" s="417" t="s">
        <v>1145</v>
      </c>
      <c r="H43" s="417" t="s">
        <v>192</v>
      </c>
      <c r="I43" s="418">
        <v>0</v>
      </c>
    </row>
    <row r="44" spans="2:9" x14ac:dyDescent="0.35">
      <c r="B44" t="s">
        <v>1096</v>
      </c>
      <c r="C44" s="176">
        <v>1</v>
      </c>
      <c r="D44" s="280" t="s">
        <v>1211</v>
      </c>
      <c r="E44" s="280"/>
      <c r="F44" s="416" t="s">
        <v>194</v>
      </c>
      <c r="G44" s="417" t="s">
        <v>1146</v>
      </c>
      <c r="H44" s="417" t="s">
        <v>197</v>
      </c>
      <c r="I44" s="418">
        <v>0</v>
      </c>
    </row>
    <row r="45" spans="2:9" x14ac:dyDescent="0.35">
      <c r="B45" t="s">
        <v>414</v>
      </c>
      <c r="C45" s="176">
        <v>1</v>
      </c>
      <c r="D45" s="280" t="s">
        <v>1212</v>
      </c>
      <c r="E45" s="280"/>
      <c r="F45" s="416" t="s">
        <v>194</v>
      </c>
      <c r="G45" s="417" t="s">
        <v>1146</v>
      </c>
      <c r="H45" s="417" t="s">
        <v>200</v>
      </c>
      <c r="I45" s="418">
        <v>0</v>
      </c>
    </row>
    <row r="46" spans="2:9" x14ac:dyDescent="0.35">
      <c r="B46" t="s">
        <v>298</v>
      </c>
      <c r="C46" s="176">
        <v>0</v>
      </c>
      <c r="D46" s="280"/>
      <c r="E46" s="280"/>
      <c r="F46" s="416" t="s">
        <v>201</v>
      </c>
      <c r="G46" s="417" t="s">
        <v>32</v>
      </c>
      <c r="H46" s="417" t="s">
        <v>205</v>
      </c>
      <c r="I46" s="418">
        <v>0</v>
      </c>
    </row>
    <row r="47" spans="2:9" x14ac:dyDescent="0.35">
      <c r="B47" t="s">
        <v>433</v>
      </c>
      <c r="C47" s="176">
        <v>2</v>
      </c>
      <c r="D47" s="280" t="s">
        <v>1213</v>
      </c>
      <c r="E47" s="280"/>
      <c r="F47" s="416" t="s">
        <v>201</v>
      </c>
      <c r="G47" s="571" t="s">
        <v>1147</v>
      </c>
      <c r="H47" s="571" t="s">
        <v>348</v>
      </c>
      <c r="I47" s="572">
        <v>1</v>
      </c>
    </row>
    <row r="48" spans="2:9" x14ac:dyDescent="0.35">
      <c r="B48" t="s">
        <v>301</v>
      </c>
      <c r="C48" s="176">
        <v>0</v>
      </c>
      <c r="F48" s="416" t="s">
        <v>201</v>
      </c>
      <c r="G48" s="571" t="s">
        <v>1147</v>
      </c>
      <c r="H48" s="571" t="s">
        <v>349</v>
      </c>
      <c r="I48" s="572">
        <v>1</v>
      </c>
    </row>
    <row r="49" spans="2:9" x14ac:dyDescent="0.35">
      <c r="B49" t="s">
        <v>168</v>
      </c>
      <c r="C49" s="176">
        <v>0</v>
      </c>
      <c r="F49" s="416" t="s">
        <v>201</v>
      </c>
      <c r="G49" s="571" t="s">
        <v>1147</v>
      </c>
      <c r="H49" s="571" t="s">
        <v>350</v>
      </c>
      <c r="I49" s="572">
        <v>1</v>
      </c>
    </row>
    <row r="50" spans="2:9" x14ac:dyDescent="0.35">
      <c r="B50" t="s">
        <v>52</v>
      </c>
      <c r="C50" s="176">
        <v>0</v>
      </c>
      <c r="F50" s="416" t="s">
        <v>213</v>
      </c>
      <c r="G50" s="417" t="s">
        <v>1133</v>
      </c>
      <c r="H50" s="417" t="s">
        <v>216</v>
      </c>
      <c r="I50" s="418">
        <v>0</v>
      </c>
    </row>
    <row r="51" spans="2:9" x14ac:dyDescent="0.35">
      <c r="B51" t="s">
        <v>253</v>
      </c>
      <c r="C51" s="176">
        <v>0</v>
      </c>
      <c r="F51" s="416" t="s">
        <v>218</v>
      </c>
      <c r="G51" s="283" t="s">
        <v>1148</v>
      </c>
      <c r="H51" s="283" t="s">
        <v>222</v>
      </c>
      <c r="I51" s="284">
        <v>1</v>
      </c>
    </row>
    <row r="52" spans="2:9" x14ac:dyDescent="0.35">
      <c r="B52" t="s">
        <v>70</v>
      </c>
      <c r="C52" s="176">
        <v>0</v>
      </c>
      <c r="F52" s="416" t="s">
        <v>223</v>
      </c>
      <c r="G52" s="283" t="s">
        <v>1148</v>
      </c>
      <c r="H52" s="283" t="s">
        <v>225</v>
      </c>
      <c r="I52" s="284">
        <v>1</v>
      </c>
    </row>
    <row r="53" spans="2:9" x14ac:dyDescent="0.35">
      <c r="F53" s="416" t="s">
        <v>220</v>
      </c>
      <c r="G53" s="283" t="s">
        <v>1148</v>
      </c>
      <c r="H53" s="283" t="s">
        <v>227</v>
      </c>
      <c r="I53" s="284">
        <v>1</v>
      </c>
    </row>
    <row r="54" spans="2:9" x14ac:dyDescent="0.35">
      <c r="F54" s="416" t="s">
        <v>229</v>
      </c>
      <c r="G54" s="417" t="s">
        <v>1145</v>
      </c>
      <c r="H54" s="417" t="s">
        <v>233</v>
      </c>
      <c r="I54" s="418">
        <v>0</v>
      </c>
    </row>
    <row r="55" spans="2:9" x14ac:dyDescent="0.35">
      <c r="F55" s="416" t="s">
        <v>229</v>
      </c>
      <c r="G55" s="417" t="s">
        <v>32</v>
      </c>
      <c r="H55" s="417" t="s">
        <v>239</v>
      </c>
      <c r="I55" s="418">
        <v>0</v>
      </c>
    </row>
    <row r="56" spans="2:9" x14ac:dyDescent="0.35">
      <c r="F56" s="416" t="s">
        <v>229</v>
      </c>
      <c r="G56" s="417" t="s">
        <v>1145</v>
      </c>
      <c r="H56" s="417" t="s">
        <v>244</v>
      </c>
      <c r="I56" s="418">
        <v>2</v>
      </c>
    </row>
    <row r="57" spans="2:9" x14ac:dyDescent="0.35">
      <c r="F57" s="416" t="s">
        <v>229</v>
      </c>
      <c r="G57" s="417" t="s">
        <v>1145</v>
      </c>
      <c r="H57" s="417" t="s">
        <v>250</v>
      </c>
      <c r="I57" s="418">
        <v>0</v>
      </c>
    </row>
    <row r="58" spans="2:9" x14ac:dyDescent="0.35">
      <c r="F58" s="416" t="s">
        <v>229</v>
      </c>
      <c r="G58" s="417" t="s">
        <v>32</v>
      </c>
      <c r="H58" s="417" t="s">
        <v>253</v>
      </c>
      <c r="I58" s="418">
        <v>0</v>
      </c>
    </row>
    <row r="59" spans="2:9" x14ac:dyDescent="0.35">
      <c r="F59" s="416" t="s">
        <v>229</v>
      </c>
      <c r="G59" s="417" t="s">
        <v>1145</v>
      </c>
      <c r="H59" s="417" t="s">
        <v>258</v>
      </c>
      <c r="I59" s="418">
        <v>0</v>
      </c>
    </row>
    <row r="60" spans="2:9" x14ac:dyDescent="0.35">
      <c r="F60" s="416" t="s">
        <v>229</v>
      </c>
      <c r="G60" s="417" t="s">
        <v>1149</v>
      </c>
      <c r="H60" s="417" t="s">
        <v>261</v>
      </c>
      <c r="I60" s="418">
        <v>0</v>
      </c>
    </row>
    <row r="61" spans="2:9" x14ac:dyDescent="0.35">
      <c r="F61" s="416" t="s">
        <v>229</v>
      </c>
      <c r="G61" s="417" t="s">
        <v>1149</v>
      </c>
      <c r="H61" s="417" t="s">
        <v>264</v>
      </c>
      <c r="I61" s="418">
        <v>0</v>
      </c>
    </row>
    <row r="62" spans="2:9" x14ac:dyDescent="0.35">
      <c r="F62" s="416" t="s">
        <v>229</v>
      </c>
      <c r="G62" s="417" t="s">
        <v>1145</v>
      </c>
      <c r="H62" s="417" t="s">
        <v>269</v>
      </c>
      <c r="I62" s="418">
        <v>0</v>
      </c>
    </row>
    <row r="63" spans="2:9" x14ac:dyDescent="0.35">
      <c r="F63" s="416" t="s">
        <v>229</v>
      </c>
      <c r="G63" s="417" t="s">
        <v>1145</v>
      </c>
      <c r="H63" s="417" t="s">
        <v>272</v>
      </c>
      <c r="I63" s="418">
        <v>0</v>
      </c>
    </row>
    <row r="64" spans="2:9" x14ac:dyDescent="0.35">
      <c r="F64" s="416" t="s">
        <v>274</v>
      </c>
      <c r="G64" s="417" t="s">
        <v>1150</v>
      </c>
      <c r="H64" s="417" t="s">
        <v>278</v>
      </c>
      <c r="I64" s="418">
        <v>0</v>
      </c>
    </row>
    <row r="65" spans="6:9" x14ac:dyDescent="0.35">
      <c r="F65" s="416" t="s">
        <v>289</v>
      </c>
      <c r="G65" s="417" t="s">
        <v>1151</v>
      </c>
      <c r="H65" s="417" t="s">
        <v>291</v>
      </c>
      <c r="I65" s="418">
        <v>0</v>
      </c>
    </row>
    <row r="66" spans="6:9" x14ac:dyDescent="0.35">
      <c r="F66" s="416" t="s">
        <v>289</v>
      </c>
      <c r="G66" s="417" t="s">
        <v>1152</v>
      </c>
      <c r="H66" s="417" t="s">
        <v>351</v>
      </c>
      <c r="I66" s="418">
        <v>1</v>
      </c>
    </row>
    <row r="67" spans="6:9" x14ac:dyDescent="0.35">
      <c r="F67" s="416" t="s">
        <v>289</v>
      </c>
      <c r="G67" s="417" t="s">
        <v>32</v>
      </c>
      <c r="H67" s="417" t="s">
        <v>298</v>
      </c>
      <c r="I67" s="418">
        <v>0</v>
      </c>
    </row>
    <row r="68" spans="6:9" x14ac:dyDescent="0.35">
      <c r="F68" s="416" t="s">
        <v>289</v>
      </c>
      <c r="G68" s="417" t="s">
        <v>1151</v>
      </c>
      <c r="H68" s="417" t="s">
        <v>301</v>
      </c>
      <c r="I68" s="418">
        <v>0</v>
      </c>
    </row>
    <row r="69" spans="6:9" x14ac:dyDescent="0.35">
      <c r="F69" s="416" t="s">
        <v>289</v>
      </c>
      <c r="G69" s="417" t="s">
        <v>1153</v>
      </c>
      <c r="H69" s="417" t="s">
        <v>306</v>
      </c>
      <c r="I69" s="418">
        <v>1</v>
      </c>
    </row>
    <row r="70" spans="6:9" x14ac:dyDescent="0.35">
      <c r="F70" s="416" t="s">
        <v>309</v>
      </c>
      <c r="G70" s="417" t="s">
        <v>32</v>
      </c>
      <c r="H70" s="417" t="s">
        <v>313</v>
      </c>
      <c r="I70" s="418">
        <v>0</v>
      </c>
    </row>
    <row r="71" spans="6:9" x14ac:dyDescent="0.35">
      <c r="F71" s="416" t="s">
        <v>320</v>
      </c>
      <c r="G71" s="417" t="s">
        <v>1143</v>
      </c>
      <c r="H71" s="417" t="s">
        <v>323</v>
      </c>
      <c r="I71" s="418">
        <v>0</v>
      </c>
    </row>
    <row r="72" spans="6:9" x14ac:dyDescent="0.35">
      <c r="F72" s="416" t="s">
        <v>320</v>
      </c>
      <c r="G72" s="417" t="s">
        <v>1143</v>
      </c>
      <c r="H72" s="417" t="s">
        <v>325</v>
      </c>
      <c r="I72" s="418">
        <v>0</v>
      </c>
    </row>
    <row r="73" spans="6:9" x14ac:dyDescent="0.35">
      <c r="F73" s="416" t="s">
        <v>320</v>
      </c>
      <c r="G73" s="417" t="s">
        <v>1143</v>
      </c>
      <c r="H73" s="417" t="s">
        <v>329</v>
      </c>
      <c r="I73" s="418">
        <v>1</v>
      </c>
    </row>
    <row r="74" spans="6:9" x14ac:dyDescent="0.35">
      <c r="F74" s="416" t="s">
        <v>194</v>
      </c>
      <c r="G74" s="417" t="s">
        <v>1146</v>
      </c>
      <c r="H74" s="417" t="s">
        <v>336</v>
      </c>
      <c r="I74" s="418">
        <v>0</v>
      </c>
    </row>
    <row r="75" spans="6:9" ht="15" thickBot="1" x14ac:dyDescent="0.4">
      <c r="F75" s="419" t="s">
        <v>339</v>
      </c>
      <c r="G75" s="420" t="s">
        <v>1153</v>
      </c>
      <c r="H75" s="420" t="s">
        <v>342</v>
      </c>
      <c r="I75" s="421">
        <v>1</v>
      </c>
    </row>
  </sheetData>
  <autoFilter ref="F4:I75" xr:uid="{68CD9B5E-8675-46D3-892C-D31B1266B4BF}"/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6C53-27A4-4AC2-B70D-DE17AC4CBBC0}">
  <sheetPr>
    <tabColor theme="4" tint="0.39997558519241921"/>
  </sheetPr>
  <dimension ref="A1:L74"/>
  <sheetViews>
    <sheetView zoomScaleNormal="100" workbookViewId="0">
      <selection activeCell="K3" sqref="K3"/>
    </sheetView>
  </sheetViews>
  <sheetFormatPr defaultColWidth="8.7265625" defaultRowHeight="14.5" x14ac:dyDescent="0.35"/>
  <cols>
    <col min="1" max="1" width="24.36328125" style="288" customWidth="1"/>
    <col min="2" max="2" width="24.26953125" style="288" customWidth="1"/>
    <col min="3" max="3" width="22.08984375" style="288" customWidth="1"/>
    <col min="4" max="4" width="73.90625" style="288" bestFit="1" customWidth="1"/>
    <col min="5" max="6" width="8.7265625" style="288"/>
    <col min="7" max="7" width="25.7265625" style="288" bestFit="1" customWidth="1"/>
    <col min="8" max="8" width="41.54296875" style="288" bestFit="1" customWidth="1"/>
    <col min="9" max="9" width="48.54296875" style="288" bestFit="1" customWidth="1"/>
    <col min="10" max="10" width="15.26953125" style="288" customWidth="1"/>
    <col min="11" max="11" width="24.08984375" style="288" customWidth="1"/>
    <col min="12" max="12" width="28.453125" style="821" customWidth="1"/>
    <col min="13" max="13" width="35.7265625" style="288" bestFit="1" customWidth="1"/>
    <col min="14" max="14" width="11" style="288" bestFit="1" customWidth="1"/>
    <col min="15" max="16384" width="8.7265625" style="288"/>
  </cols>
  <sheetData>
    <row r="1" spans="1:12" ht="53" customHeight="1" x14ac:dyDescent="0.35">
      <c r="A1" s="1017" t="s">
        <v>592</v>
      </c>
      <c r="B1" s="1017"/>
      <c r="C1" s="1017"/>
      <c r="D1" s="1017"/>
    </row>
    <row r="2" spans="1:12" ht="15" thickBot="1" x14ac:dyDescent="0.4">
      <c r="G2" s="782" t="s">
        <v>1100</v>
      </c>
    </row>
    <row r="3" spans="1:12" ht="33" customHeight="1" thickBot="1" x14ac:dyDescent="0.4">
      <c r="A3" s="289" t="s">
        <v>593</v>
      </c>
      <c r="B3" s="289" t="s">
        <v>902</v>
      </c>
      <c r="C3" s="290" t="s">
        <v>594</v>
      </c>
      <c r="D3" s="291" t="s">
        <v>595</v>
      </c>
      <c r="G3" s="816" t="s">
        <v>0</v>
      </c>
      <c r="H3" s="817" t="s">
        <v>357</v>
      </c>
      <c r="I3" s="817" t="s">
        <v>5</v>
      </c>
      <c r="J3" s="817" t="s">
        <v>768</v>
      </c>
      <c r="K3" s="825" t="s">
        <v>1174</v>
      </c>
    </row>
    <row r="4" spans="1:12" ht="15" thickBot="1" x14ac:dyDescent="0.4">
      <c r="A4" s="292" t="s">
        <v>596</v>
      </c>
      <c r="B4" s="293" t="s">
        <v>597</v>
      </c>
      <c r="C4" s="294" t="s">
        <v>459</v>
      </c>
      <c r="D4" s="294"/>
      <c r="G4" s="416" t="str">
        <f>INDEX('Raw Forecasting NPS Data'!$D$6:$D$166,MATCH(I4,'Raw Forecasting NPS Data'!$I$6:$I$166,0))</f>
        <v>Biliary</v>
      </c>
      <c r="H4" s="417" t="str">
        <f>_xlfn.IFNA(INDEX('MCODE Final Mapping'!$L$6:$L$67,MATCH('2024 Consumer Focus'!$I4,'MCODE Final Mapping'!$K$6:$K$67,0)),"-")</f>
        <v>PROMO-US-2024 KEYTRUDA GI</v>
      </c>
      <c r="I4" s="417" t="s">
        <v>27</v>
      </c>
      <c r="J4" s="417" t="s">
        <v>460</v>
      </c>
      <c r="K4" s="818" t="s">
        <v>460</v>
      </c>
    </row>
    <row r="5" spans="1:12" ht="15" thickBot="1" x14ac:dyDescent="0.4">
      <c r="A5" s="292" t="s">
        <v>598</v>
      </c>
      <c r="B5" s="293" t="s">
        <v>597</v>
      </c>
      <c r="C5" s="294" t="s">
        <v>459</v>
      </c>
      <c r="D5" s="294"/>
      <c r="G5" s="416" t="str">
        <f>INDEX('Raw Forecasting NPS Data'!$D$6:$D$166,MATCH(I5,'Raw Forecasting NPS Data'!$I$6:$I$166,0))</f>
        <v>Cervical</v>
      </c>
      <c r="H5" s="417" t="str">
        <f>_xlfn.IFNA(INDEX('MCODE Final Mapping'!$L$6:$L$67,MATCH('2024 Consumer Focus'!$I5,'MCODE Final Mapping'!$K$6:$K$67,0)),"-")</f>
        <v>PROMO-US-2024 KEYTRUDA CERVICAL</v>
      </c>
      <c r="I5" s="417" t="s">
        <v>344</v>
      </c>
      <c r="J5" s="417" t="s">
        <v>908</v>
      </c>
      <c r="K5" s="818" t="s">
        <v>908</v>
      </c>
    </row>
    <row r="6" spans="1:12" ht="15" thickBot="1" x14ac:dyDescent="0.4">
      <c r="A6" s="292" t="s">
        <v>599</v>
      </c>
      <c r="B6" s="293" t="s">
        <v>597</v>
      </c>
      <c r="C6" s="294" t="s">
        <v>459</v>
      </c>
      <c r="D6" s="294"/>
      <c r="G6" s="416" t="str">
        <f>INDEX('Raw Forecasting NPS Data'!$D$6:$D$166,MATCH(I6,'Raw Forecasting NPS Data'!$I$6:$I$166,0))</f>
        <v>Cervical</v>
      </c>
      <c r="H6" s="417" t="str">
        <f>_xlfn.IFNA(INDEX('MCODE Final Mapping'!$L$6:$L$67,MATCH('2024 Consumer Focus'!$I6,'MCODE Final Mapping'!$K$6:$K$67,0)),"-")</f>
        <v>PROMO-US-2024 KEYTRUDA CERVICAL</v>
      </c>
      <c r="I6" s="417" t="s">
        <v>345</v>
      </c>
      <c r="J6" s="417" t="s">
        <v>908</v>
      </c>
      <c r="K6" s="818" t="s">
        <v>908</v>
      </c>
    </row>
    <row r="7" spans="1:12" ht="15" thickBot="1" x14ac:dyDescent="0.4">
      <c r="A7" s="292" t="s">
        <v>600</v>
      </c>
      <c r="B7" s="293" t="s">
        <v>601</v>
      </c>
      <c r="C7" s="294" t="s">
        <v>459</v>
      </c>
      <c r="D7" s="294"/>
      <c r="G7" s="416" t="str">
        <f>INDEX('Raw Forecasting NPS Data'!$D$6:$D$166,MATCH(I7,'Raw Forecasting NPS Data'!$I$6:$I$166,0))</f>
        <v>Cervical</v>
      </c>
      <c r="H7" s="417" t="str">
        <f>_xlfn.IFNA(INDEX('MCODE Final Mapping'!$L$6:$L$67,MATCH('2024 Consumer Focus'!$I7,'MCODE Final Mapping'!$K$6:$K$67,0)),"-")</f>
        <v>PROMO-US-2024 KEYTRUDA CERVICAL</v>
      </c>
      <c r="I7" s="417" t="s">
        <v>346</v>
      </c>
      <c r="J7" s="417" t="s">
        <v>908</v>
      </c>
      <c r="K7" s="818" t="s">
        <v>908</v>
      </c>
    </row>
    <row r="8" spans="1:12" ht="15" thickBot="1" x14ac:dyDescent="0.4">
      <c r="A8" s="292" t="s">
        <v>445</v>
      </c>
      <c r="B8" s="293" t="s">
        <v>602</v>
      </c>
      <c r="C8" s="294" t="s">
        <v>461</v>
      </c>
      <c r="D8" s="294"/>
      <c r="G8" s="416" t="str">
        <f>INDEX('Raw Forecasting NPS Data'!$D$6:$D$166,MATCH(I8,'Raw Forecasting NPS Data'!$I$6:$I$166,0))</f>
        <v>CRC</v>
      </c>
      <c r="H8" s="417" t="str">
        <f>_xlfn.IFNA(INDEX('MCODE Final Mapping'!$L$6:$L$67,MATCH('2024 Consumer Focus'!$I8,'MCODE Final Mapping'!$K$6:$K$67,0)),"-")</f>
        <v>PROMO-US-2024 LAG-3 (MK-4280A)</v>
      </c>
      <c r="I8" s="417" t="s">
        <v>52</v>
      </c>
      <c r="J8" s="417" t="s">
        <v>908</v>
      </c>
      <c r="K8" s="818" t="s">
        <v>908</v>
      </c>
    </row>
    <row r="9" spans="1:12" ht="15" thickBot="1" x14ac:dyDescent="0.4">
      <c r="A9" s="292" t="s">
        <v>603</v>
      </c>
      <c r="B9" s="293" t="s">
        <v>602</v>
      </c>
      <c r="C9" s="294" t="s">
        <v>461</v>
      </c>
      <c r="D9" s="294"/>
      <c r="G9" s="416" t="str">
        <f>INDEX('Raw Forecasting NPS Data'!$D$6:$D$166,MATCH(I9,'Raw Forecasting NPS Data'!$I$6:$I$166,0))</f>
        <v>CRC</v>
      </c>
      <c r="H9" s="417" t="str">
        <f>_xlfn.IFNA(INDEX('MCODE Final Mapping'!$L$6:$L$67,MATCH('2024 Consumer Focus'!$I9,'MCODE Final Mapping'!$K$6:$K$67,0)),"-")</f>
        <v>PROMO-US-2024 KEYTRUDA GI</v>
      </c>
      <c r="I9" s="417" t="s">
        <v>55</v>
      </c>
      <c r="J9" s="417" t="s">
        <v>461</v>
      </c>
      <c r="K9" s="818" t="s">
        <v>461</v>
      </c>
    </row>
    <row r="10" spans="1:12" ht="15" thickBot="1" x14ac:dyDescent="0.4">
      <c r="A10" s="292" t="s">
        <v>604</v>
      </c>
      <c r="B10" s="293" t="s">
        <v>459</v>
      </c>
      <c r="C10" s="294" t="s">
        <v>461</v>
      </c>
      <c r="D10" s="294"/>
      <c r="G10" s="416" t="str">
        <f>INDEX('Raw Forecasting NPS Data'!$D$6:$D$166,MATCH(I10,'Raw Forecasting NPS Data'!$I$6:$I$166,0))</f>
        <v>CRC</v>
      </c>
      <c r="H10" s="417" t="str">
        <f>_xlfn.IFNA(INDEX('MCODE Final Mapping'!$L$6:$L$67,MATCH('2024 Consumer Focus'!$I10,'MCODE Final Mapping'!$K$6:$K$67,0)),"-")</f>
        <v>PROMO-US-2024 KEYTRUDA GI</v>
      </c>
      <c r="I10" s="417" t="s">
        <v>59</v>
      </c>
      <c r="J10" s="417" t="s">
        <v>461</v>
      </c>
      <c r="K10" s="818" t="s">
        <v>461</v>
      </c>
    </row>
    <row r="11" spans="1:12" ht="15" thickBot="1" x14ac:dyDescent="0.4">
      <c r="A11" s="292" t="s">
        <v>605</v>
      </c>
      <c r="B11" s="293" t="s">
        <v>461</v>
      </c>
      <c r="C11" s="294" t="s">
        <v>461</v>
      </c>
      <c r="D11" s="294"/>
      <c r="G11" s="416" t="str">
        <f>INDEX('Raw Forecasting NPS Data'!$D$6:$D$166,MATCH(I11,'Raw Forecasting NPS Data'!$I$6:$I$166,0))</f>
        <v>cSCC</v>
      </c>
      <c r="H11" s="417" t="str">
        <f>_xlfn.IFNA(INDEX('MCODE Final Mapping'!$L$6:$L$67,MATCH('2024 Consumer Focus'!$I11,'MCODE Final Mapping'!$K$6:$K$67,0)),"-")</f>
        <v>PROMO-US-2024 KEYTRUDA H&amp;N</v>
      </c>
      <c r="I11" s="417" t="s">
        <v>64</v>
      </c>
      <c r="J11" s="417" t="s">
        <v>461</v>
      </c>
      <c r="K11" s="818" t="s">
        <v>461</v>
      </c>
    </row>
    <row r="12" spans="1:12" ht="34" customHeight="1" thickBot="1" x14ac:dyDescent="0.4">
      <c r="A12" s="292" t="s">
        <v>606</v>
      </c>
      <c r="B12" s="293" t="s">
        <v>459</v>
      </c>
      <c r="C12" s="294" t="s">
        <v>461</v>
      </c>
      <c r="D12" s="294"/>
      <c r="G12" s="715" t="str">
        <f>INDEX('Raw Forecasting NPS Data'!$D$6:$D$166,MATCH(I12,'Raw Forecasting NPS Data'!$I$6:$I$166,0))</f>
        <v>DLBCL</v>
      </c>
      <c r="H12" s="716" t="str">
        <f>_xlfn.IFNA(INDEX('MCODE Final Mapping'!$L$6:$L$67,MATCH('2024 Consumer Focus'!$I12,'MCODE Final Mapping'!$K$6:$K$67,0)),"-")</f>
        <v>-</v>
      </c>
      <c r="I12" s="716" t="s">
        <v>70</v>
      </c>
      <c r="J12" s="716" t="s">
        <v>913</v>
      </c>
      <c r="K12" s="820"/>
      <c r="L12" s="822" t="s">
        <v>1165</v>
      </c>
    </row>
    <row r="13" spans="1:12" ht="34" customHeight="1" thickBot="1" x14ac:dyDescent="0.4">
      <c r="A13" s="292" t="s">
        <v>607</v>
      </c>
      <c r="B13" s="295" t="s">
        <v>608</v>
      </c>
      <c r="C13" s="294" t="s">
        <v>903</v>
      </c>
      <c r="D13" s="294" t="s">
        <v>904</v>
      </c>
      <c r="G13" s="416" t="str">
        <f>INDEX('Raw Forecasting NPS Data'!$D$6:$D$166,MATCH(I13,'Raw Forecasting NPS Data'!$I$6:$I$166,0))</f>
        <v>Endometrial</v>
      </c>
      <c r="H13" s="417" t="str">
        <f>_xlfn.IFNA(INDEX('MCODE Final Mapping'!$L$6:$L$67,MATCH('2024 Consumer Focus'!$I13,'MCODE Final Mapping'!$K$6:$K$67,0)),"-")</f>
        <v>PROMO-US-2024 KEYTRUDA ENDOMETRIAL</v>
      </c>
      <c r="I13" s="417" t="s">
        <v>77</v>
      </c>
      <c r="J13" s="417" t="s">
        <v>908</v>
      </c>
      <c r="K13" s="818" t="s">
        <v>908</v>
      </c>
    </row>
    <row r="14" spans="1:12" ht="34" customHeight="1" thickBot="1" x14ac:dyDescent="0.4">
      <c r="A14" s="292" t="s">
        <v>609</v>
      </c>
      <c r="B14" s="296" t="s">
        <v>610</v>
      </c>
      <c r="C14" s="294" t="s">
        <v>459</v>
      </c>
      <c r="D14" s="294" t="s">
        <v>905</v>
      </c>
      <c r="G14" s="416" t="str">
        <f>INDEX('Raw Forecasting NPS Data'!$D$6:$D$166,MATCH(I14,'Raw Forecasting NPS Data'!$I$6:$I$166,0))</f>
        <v>Endometrial</v>
      </c>
      <c r="H14" s="417" t="str">
        <f>_xlfn.IFNA(INDEX('MCODE Final Mapping'!$L$6:$L$67,MATCH('2024 Consumer Focus'!$I14,'MCODE Final Mapping'!$K$6:$K$67,0)),"-")</f>
        <v>PROMO-US-2024 KEYTRUDA ENDOMETRIAL</v>
      </c>
      <c r="I14" s="417" t="s">
        <v>347</v>
      </c>
      <c r="J14" s="417" t="s">
        <v>908</v>
      </c>
      <c r="K14" s="818" t="s">
        <v>908</v>
      </c>
    </row>
    <row r="15" spans="1:12" ht="33.65" customHeight="1" thickBot="1" x14ac:dyDescent="0.4">
      <c r="A15" s="292" t="s">
        <v>611</v>
      </c>
      <c r="B15" s="296" t="s">
        <v>610</v>
      </c>
      <c r="C15" s="294" t="s">
        <v>459</v>
      </c>
      <c r="D15" s="294" t="s">
        <v>905</v>
      </c>
      <c r="G15" s="416" t="str">
        <f>INDEX('Raw Forecasting NPS Data'!$D$6:$D$166,MATCH(I15,'Raw Forecasting NPS Data'!$I$6:$I$166,0))</f>
        <v>Endometrial</v>
      </c>
      <c r="H15" s="417" t="str">
        <f>_xlfn.IFNA(INDEX('MCODE Final Mapping'!$L$6:$L$67,MATCH('2024 Consumer Focus'!$I15,'MCODE Final Mapping'!$K$6:$K$67,0)),"-")</f>
        <v>PROMO-US-2024 LENVIMA ENDOMETRIAL</v>
      </c>
      <c r="I15" s="417" t="s">
        <v>86</v>
      </c>
      <c r="J15" s="417" t="s">
        <v>908</v>
      </c>
      <c r="K15" s="818" t="s">
        <v>908</v>
      </c>
    </row>
    <row r="16" spans="1:12" ht="33.65" customHeight="1" thickBot="1" x14ac:dyDescent="0.4">
      <c r="A16" s="292" t="s">
        <v>612</v>
      </c>
      <c r="B16" s="296" t="s">
        <v>610</v>
      </c>
      <c r="C16" s="294" t="s">
        <v>459</v>
      </c>
      <c r="D16" s="294" t="s">
        <v>905</v>
      </c>
      <c r="G16" s="416" t="str">
        <f>INDEX('Raw Forecasting NPS Data'!$D$6:$D$166,MATCH(I16,'Raw Forecasting NPS Data'!$I$6:$I$166,0))</f>
        <v>Endometrial</v>
      </c>
      <c r="H16" s="417" t="str">
        <f>_xlfn.IFNA(INDEX('MCODE Final Mapping'!$L$6:$L$67,MATCH('2024 Consumer Focus'!$I16,'MCODE Final Mapping'!$K$6:$K$67,0)),"-")</f>
        <v>PROMO-US-2024 KEYTRUDA ENDOMETRIAL</v>
      </c>
      <c r="I16" s="417" t="s">
        <v>93</v>
      </c>
      <c r="J16" s="417" t="s">
        <v>908</v>
      </c>
      <c r="K16" s="818" t="s">
        <v>908</v>
      </c>
    </row>
    <row r="17" spans="1:12" ht="29.5" thickBot="1" x14ac:dyDescent="0.4">
      <c r="A17" s="292" t="s">
        <v>613</v>
      </c>
      <c r="B17" s="293" t="s">
        <v>459</v>
      </c>
      <c r="C17" s="294" t="s">
        <v>461</v>
      </c>
      <c r="D17" s="294" t="s">
        <v>906</v>
      </c>
      <c r="G17" s="416" t="str">
        <f>INDEX('Raw Forecasting NPS Data'!$D$6:$D$166,MATCH(I17,'Raw Forecasting NPS Data'!$I$6:$I$166,0))</f>
        <v>Endometrial</v>
      </c>
      <c r="H17" s="417" t="str">
        <f>_xlfn.IFNA(INDEX('MCODE Final Mapping'!$L$6:$L$67,MATCH('2024 Consumer Focus'!$I17,'MCODE Final Mapping'!$K$6:$K$67,0)),"-")</f>
        <v>PROMO-US-2024 KEYTRUDA ENDOMETRIAL</v>
      </c>
      <c r="I17" s="417" t="s">
        <v>96</v>
      </c>
      <c r="J17" s="417" t="s">
        <v>908</v>
      </c>
      <c r="K17" s="818" t="s">
        <v>908</v>
      </c>
    </row>
    <row r="18" spans="1:12" ht="32.15" customHeight="1" thickBot="1" x14ac:dyDescent="0.4">
      <c r="A18" s="292" t="s">
        <v>614</v>
      </c>
      <c r="B18" s="293" t="s">
        <v>615</v>
      </c>
      <c r="C18" s="294" t="s">
        <v>459</v>
      </c>
      <c r="D18" s="294" t="s">
        <v>907</v>
      </c>
      <c r="G18" s="715" t="str">
        <f>INDEX('Raw Forecasting NPS Data'!$D$6:$D$166,MATCH(I18,'Raw Forecasting NPS Data'!$I$6:$I$166,0))</f>
        <v>Esophageal</v>
      </c>
      <c r="H18" s="716" t="str">
        <f>_xlfn.IFNA(INDEX('MCODE Final Mapping'!$L$6:$L$67,MATCH('2024 Consumer Focus'!$I18,'MCODE Final Mapping'!$K$6:$K$67,0)),"-")</f>
        <v>-</v>
      </c>
      <c r="I18" s="716" t="s">
        <v>102</v>
      </c>
      <c r="J18" s="716" t="s">
        <v>908</v>
      </c>
      <c r="K18" s="820"/>
      <c r="L18" s="822" t="s">
        <v>1165</v>
      </c>
    </row>
    <row r="19" spans="1:12" ht="32.15" customHeight="1" thickBot="1" x14ac:dyDescent="0.4">
      <c r="A19" s="292" t="s">
        <v>616</v>
      </c>
      <c r="B19" s="293" t="s">
        <v>617</v>
      </c>
      <c r="C19" s="294" t="s">
        <v>459</v>
      </c>
      <c r="D19" s="294"/>
      <c r="G19" s="715" t="str">
        <f>INDEX('Raw Forecasting NPS Data'!$D$6:$D$166,MATCH(I19,'Raw Forecasting NPS Data'!$I$6:$I$166,0))</f>
        <v>Esophageal</v>
      </c>
      <c r="H19" s="716" t="str">
        <f>_xlfn.IFNA(INDEX('MCODE Final Mapping'!$L$6:$L$67,MATCH('2024 Consumer Focus'!$I19,'MCODE Final Mapping'!$K$6:$K$67,0)),"-")</f>
        <v>-</v>
      </c>
      <c r="I19" s="716" t="s">
        <v>106</v>
      </c>
      <c r="J19" s="716" t="s">
        <v>908</v>
      </c>
      <c r="K19" s="820"/>
      <c r="L19" s="822" t="s">
        <v>1165</v>
      </c>
    </row>
    <row r="20" spans="1:12" ht="15" thickBot="1" x14ac:dyDescent="0.4">
      <c r="A20" s="292" t="s">
        <v>618</v>
      </c>
      <c r="B20" s="293" t="s">
        <v>617</v>
      </c>
      <c r="C20" s="294" t="s">
        <v>908</v>
      </c>
      <c r="D20" s="294" t="s">
        <v>909</v>
      </c>
      <c r="G20" s="416" t="str">
        <f>INDEX('Raw Forecasting NPS Data'!$D$6:$D$166,MATCH(I20,'Raw Forecasting NPS Data'!$I$6:$I$166,0))</f>
        <v>Esophageal</v>
      </c>
      <c r="H20" s="417" t="str">
        <f>_xlfn.IFNA(INDEX('MCODE Final Mapping'!$L$6:$L$67,MATCH('2024 Consumer Focus'!$I20,'MCODE Final Mapping'!$K$6:$K$67,0)),"-")</f>
        <v>PROMO-US-2024 KEYTRUDA GI</v>
      </c>
      <c r="I20" s="417" t="s">
        <v>108</v>
      </c>
      <c r="J20" s="417" t="s">
        <v>908</v>
      </c>
      <c r="K20" s="818" t="s">
        <v>908</v>
      </c>
    </row>
    <row r="21" spans="1:12" ht="15" thickBot="1" x14ac:dyDescent="0.4">
      <c r="A21" s="292" t="s">
        <v>619</v>
      </c>
      <c r="B21" s="293" t="s">
        <v>620</v>
      </c>
      <c r="C21" s="294" t="s">
        <v>908</v>
      </c>
      <c r="D21" s="294" t="s">
        <v>907</v>
      </c>
      <c r="G21" s="416" t="str">
        <f>INDEX('Raw Forecasting NPS Data'!$D$6:$D$166,MATCH(I21,'Raw Forecasting NPS Data'!$I$6:$I$166,0))</f>
        <v>Esophageal</v>
      </c>
      <c r="H21" s="417" t="str">
        <f>_xlfn.IFNA(INDEX('MCODE Final Mapping'!$L$6:$L$67,MATCH('2024 Consumer Focus'!$I21,'MCODE Final Mapping'!$K$6:$K$67,0)),"-")</f>
        <v>PROMO-US-2024 KEYTRUDA GI</v>
      </c>
      <c r="I21" s="417" t="s">
        <v>110</v>
      </c>
      <c r="J21" s="417" t="s">
        <v>908</v>
      </c>
      <c r="K21" s="818" t="s">
        <v>908</v>
      </c>
    </row>
    <row r="22" spans="1:12" ht="24" customHeight="1" thickBot="1" x14ac:dyDescent="0.4">
      <c r="A22" s="292" t="s">
        <v>621</v>
      </c>
      <c r="B22" s="293" t="s">
        <v>620</v>
      </c>
      <c r="C22" s="294" t="s">
        <v>908</v>
      </c>
      <c r="D22" s="294" t="s">
        <v>907</v>
      </c>
      <c r="G22" s="416" t="str">
        <f>INDEX('Raw Forecasting NPS Data'!$D$6:$D$166,MATCH(I22,'Raw Forecasting NPS Data'!$I$6:$I$166,0))</f>
        <v>Gastric</v>
      </c>
      <c r="H22" s="417" t="str">
        <f>_xlfn.IFNA(INDEX('MCODE Final Mapping'!$L$6:$L$67,MATCH('2024 Consumer Focus'!$I22,'MCODE Final Mapping'!$K$6:$K$67,0)),"-")</f>
        <v>PROMO-US-2024 LENVIMA GASTRIC</v>
      </c>
      <c r="I22" s="417" t="s">
        <v>118</v>
      </c>
      <c r="J22" s="417" t="s">
        <v>908</v>
      </c>
      <c r="K22" s="818" t="s">
        <v>908</v>
      </c>
    </row>
    <row r="23" spans="1:12" ht="29.5" thickBot="1" x14ac:dyDescent="0.4">
      <c r="A23" s="292" t="s">
        <v>622</v>
      </c>
      <c r="B23" s="293" t="s">
        <v>620</v>
      </c>
      <c r="C23" s="294" t="s">
        <v>908</v>
      </c>
      <c r="D23" s="294" t="s">
        <v>907</v>
      </c>
      <c r="G23" s="416" t="str">
        <f>INDEX('Raw Forecasting NPS Data'!$D$6:$D$166,MATCH(I23,'Raw Forecasting NPS Data'!$I$6:$I$166,0))</f>
        <v>Gastric</v>
      </c>
      <c r="H23" s="417" t="str">
        <f>_xlfn.IFNA(INDEX('MCODE Final Mapping'!$L$6:$L$67,MATCH('2024 Consumer Focus'!$I23,'MCODE Final Mapping'!$K$6:$K$67,0)),"-")</f>
        <v>PROMO-US-2024 KEYTRUDA GI</v>
      </c>
      <c r="I23" s="417" t="s">
        <v>122</v>
      </c>
      <c r="J23" s="417" t="s">
        <v>459</v>
      </c>
      <c r="K23" s="818" t="s">
        <v>459</v>
      </c>
    </row>
    <row r="24" spans="1:12" ht="15" thickBot="1" x14ac:dyDescent="0.4">
      <c r="A24" s="292" t="s">
        <v>623</v>
      </c>
      <c r="B24" s="293" t="s">
        <v>624</v>
      </c>
      <c r="C24" s="294" t="s">
        <v>459</v>
      </c>
      <c r="D24" s="294"/>
      <c r="G24" s="416" t="str">
        <f>INDEX('Raw Forecasting NPS Data'!$D$6:$D$166,MATCH(I24,'Raw Forecasting NPS Data'!$I$6:$I$166,0))</f>
        <v>Gastric</v>
      </c>
      <c r="H24" s="417" t="str">
        <f>_xlfn.IFNA(INDEX('MCODE Final Mapping'!$L$6:$L$67,MATCH('2024 Consumer Focus'!$I24,'MCODE Final Mapping'!$K$6:$K$67,0)),"-")</f>
        <v>PROMO-US-2024 KEYTRUDA GI</v>
      </c>
      <c r="I24" s="417" t="s">
        <v>124</v>
      </c>
      <c r="J24" s="417" t="s">
        <v>459</v>
      </c>
      <c r="K24" s="818" t="s">
        <v>459</v>
      </c>
    </row>
    <row r="25" spans="1:12" ht="15" thickBot="1" x14ac:dyDescent="0.4">
      <c r="A25" s="292" t="s">
        <v>625</v>
      </c>
      <c r="B25" s="293" t="s">
        <v>624</v>
      </c>
      <c r="C25" s="294" t="s">
        <v>908</v>
      </c>
      <c r="D25" s="294" t="s">
        <v>907</v>
      </c>
      <c r="G25" s="416" t="str">
        <f>INDEX('Raw Forecasting NPS Data'!$D$6:$D$166,MATCH(I25,'Raw Forecasting NPS Data'!$I$6:$I$166,0))</f>
        <v>Gastric</v>
      </c>
      <c r="H25" s="417" t="str">
        <f>_xlfn.IFNA(INDEX('MCODE Final Mapping'!$L$6:$L$67,MATCH('2024 Consumer Focus'!$I25,'MCODE Final Mapping'!$K$6:$K$67,0)),"-")</f>
        <v>PROMO-US-2024 KEYTRUDA GI</v>
      </c>
      <c r="I25" s="417" t="s">
        <v>126</v>
      </c>
      <c r="J25" s="417" t="s">
        <v>459</v>
      </c>
      <c r="K25" s="818" t="s">
        <v>459</v>
      </c>
    </row>
    <row r="26" spans="1:12" ht="29.5" thickBot="1" x14ac:dyDescent="0.4">
      <c r="A26" s="292" t="s">
        <v>626</v>
      </c>
      <c r="B26" s="293" t="s">
        <v>459</v>
      </c>
      <c r="C26" s="294" t="s">
        <v>908</v>
      </c>
      <c r="D26" s="294" t="s">
        <v>910</v>
      </c>
      <c r="G26" s="715" t="str">
        <f>INDEX('Raw Forecasting NPS Data'!$D$6:$D$166,MATCH(I26,'Raw Forecasting NPS Data'!$I$6:$I$166,0))</f>
        <v>HCC</v>
      </c>
      <c r="H26" s="716" t="str">
        <f>_xlfn.IFNA(INDEX('MCODE Final Mapping'!$L$6:$L$67,MATCH('2024 Consumer Focus'!$I26,'MCODE Final Mapping'!$K$6:$K$67,0)),"-")</f>
        <v>-</v>
      </c>
      <c r="I26" s="716" t="s">
        <v>130</v>
      </c>
      <c r="J26" s="716" t="s">
        <v>460</v>
      </c>
      <c r="K26" s="820"/>
      <c r="L26" s="822" t="s">
        <v>1165</v>
      </c>
    </row>
    <row r="27" spans="1:12" ht="28" customHeight="1" thickBot="1" x14ac:dyDescent="0.4">
      <c r="A27" s="292" t="s">
        <v>627</v>
      </c>
      <c r="B27" s="293" t="s">
        <v>460</v>
      </c>
      <c r="C27" s="294" t="s">
        <v>460</v>
      </c>
      <c r="D27" s="294"/>
      <c r="G27" s="416" t="str">
        <f>INDEX('Raw Forecasting NPS Data'!$D$6:$D$166,MATCH(I27,'Raw Forecasting NPS Data'!$I$6:$I$166,0))</f>
        <v>HCC</v>
      </c>
      <c r="H27" s="417" t="str">
        <f>_xlfn.IFNA(INDEX('MCODE Final Mapping'!$L$6:$L$67,MATCH('2024 Consumer Focus'!$I27,'MCODE Final Mapping'!$K$6:$K$67,0)),"-")</f>
        <v>PROMO-US-2024 KEYTRUDA GI</v>
      </c>
      <c r="I27" s="417" t="s">
        <v>133</v>
      </c>
      <c r="J27" s="417" t="s">
        <v>460</v>
      </c>
      <c r="K27" s="818" t="s">
        <v>460</v>
      </c>
    </row>
    <row r="28" spans="1:12" ht="15" thickBot="1" x14ac:dyDescent="0.4">
      <c r="A28" s="292" t="s">
        <v>628</v>
      </c>
      <c r="B28" s="293" t="s">
        <v>459</v>
      </c>
      <c r="C28" s="294" t="s">
        <v>908</v>
      </c>
      <c r="D28" s="294" t="s">
        <v>907</v>
      </c>
      <c r="G28" s="416" t="str">
        <f>INDEX('Raw Forecasting NPS Data'!$D$6:$D$166,MATCH(I28,'Raw Forecasting NPS Data'!$I$6:$I$166,0))</f>
        <v>HCC</v>
      </c>
      <c r="H28" s="417" t="str">
        <f>_xlfn.IFNA(INDEX('MCODE Final Mapping'!$L$6:$L$67,MATCH('2024 Consumer Focus'!$I28,'MCODE Final Mapping'!$K$6:$K$67,0)),"-")</f>
        <v>PROMO-US-2024 KEYTRUDA GI</v>
      </c>
      <c r="I28" s="417" t="s">
        <v>136</v>
      </c>
      <c r="J28" s="417" t="s">
        <v>460</v>
      </c>
      <c r="K28" s="818" t="s">
        <v>460</v>
      </c>
    </row>
    <row r="29" spans="1:12" ht="15" thickBot="1" x14ac:dyDescent="0.4">
      <c r="A29" s="292" t="s">
        <v>629</v>
      </c>
      <c r="B29" s="295" t="s">
        <v>608</v>
      </c>
      <c r="C29" s="294" t="s">
        <v>460</v>
      </c>
      <c r="D29" s="294" t="s">
        <v>911</v>
      </c>
      <c r="G29" s="715" t="str">
        <f>INDEX('Raw Forecasting NPS Data'!$D$6:$D$166,MATCH(I29,'Raw Forecasting NPS Data'!$I$6:$I$166,0))</f>
        <v>HCC</v>
      </c>
      <c r="H29" s="716" t="str">
        <f>_xlfn.IFNA(INDEX('MCODE Final Mapping'!$L$6:$L$67,MATCH('2024 Consumer Focus'!$I29,'MCODE Final Mapping'!$K$6:$K$67,0)),"-")</f>
        <v>-</v>
      </c>
      <c r="I29" s="716" t="s">
        <v>140</v>
      </c>
      <c r="J29" s="716" t="s">
        <v>460</v>
      </c>
      <c r="K29" s="820" t="s">
        <v>1159</v>
      </c>
    </row>
    <row r="30" spans="1:12" ht="15" thickBot="1" x14ac:dyDescent="0.4">
      <c r="A30" s="292" t="s">
        <v>630</v>
      </c>
      <c r="B30" s="295" t="s">
        <v>608</v>
      </c>
      <c r="C30" s="294" t="s">
        <v>908</v>
      </c>
      <c r="D30" s="294" t="s">
        <v>907</v>
      </c>
      <c r="G30" s="416" t="str">
        <f>INDEX('Raw Forecasting NPS Data'!$D$6:$D$166,MATCH(I30,'Raw Forecasting NPS Data'!$I$6:$I$166,0))</f>
        <v>Head &amp; Neck</v>
      </c>
      <c r="H30" s="417" t="str">
        <f>_xlfn.IFNA(INDEX('MCODE Final Mapping'!$L$6:$L$67,MATCH('2024 Consumer Focus'!$I30,'MCODE Final Mapping'!$K$6:$K$67,0)),"-")</f>
        <v>PROMO-US-2024 LENVIMA H&amp;N</v>
      </c>
      <c r="I30" s="417" t="s">
        <v>143</v>
      </c>
      <c r="J30" s="417" t="s">
        <v>461</v>
      </c>
      <c r="K30" s="818" t="s">
        <v>461</v>
      </c>
    </row>
    <row r="31" spans="1:12" ht="29.5" thickBot="1" x14ac:dyDescent="0.4">
      <c r="A31" s="292" t="s">
        <v>631</v>
      </c>
      <c r="B31" s="295" t="s">
        <v>608</v>
      </c>
      <c r="C31" s="294" t="s">
        <v>908</v>
      </c>
      <c r="D31" s="294" t="s">
        <v>912</v>
      </c>
      <c r="G31" s="416" t="str">
        <f>INDEX('Raw Forecasting NPS Data'!$D$6:$D$166,MATCH(I31,'Raw Forecasting NPS Data'!$I$6:$I$166,0))</f>
        <v>Head &amp; Neck</v>
      </c>
      <c r="H31" s="417" t="str">
        <f>_xlfn.IFNA(INDEX('MCODE Final Mapping'!$L$6:$L$67,MATCH('2024 Consumer Focus'!$I31,'MCODE Final Mapping'!$K$6:$K$67,0)),"-")</f>
        <v>PROMO-US-2024 LENVIMA H&amp;N</v>
      </c>
      <c r="I31" s="417" t="s">
        <v>146</v>
      </c>
      <c r="J31" s="417" t="s">
        <v>461</v>
      </c>
      <c r="K31" s="818" t="s">
        <v>461</v>
      </c>
    </row>
    <row r="32" spans="1:12" x14ac:dyDescent="0.35">
      <c r="C32" s="297"/>
      <c r="D32" s="297"/>
      <c r="G32" s="416" t="str">
        <f>INDEX('Raw Forecasting NPS Data'!$D$6:$D$166,MATCH(I32,'Raw Forecasting NPS Data'!$I$6:$I$166,0))</f>
        <v>Head &amp; Neck</v>
      </c>
      <c r="H32" s="417" t="str">
        <f>_xlfn.IFNA(INDEX('MCODE Final Mapping'!$L$6:$L$67,MATCH('2024 Consumer Focus'!$I32,'MCODE Final Mapping'!$K$6:$K$67,0)),"-")</f>
        <v>PROMO-US-2024 KEYTRUDA H&amp;N</v>
      </c>
      <c r="I32" s="417" t="s">
        <v>149</v>
      </c>
      <c r="J32" s="417" t="s">
        <v>461</v>
      </c>
      <c r="K32" s="818" t="s">
        <v>461</v>
      </c>
    </row>
    <row r="33" spans="1:12" ht="15" thickBot="1" x14ac:dyDescent="0.4">
      <c r="G33" s="416" t="str">
        <f>INDEX('Raw Forecasting NPS Data'!$D$6:$D$166,MATCH(I33,'Raw Forecasting NPS Data'!$I$6:$I$166,0))</f>
        <v>Head &amp; Neck</v>
      </c>
      <c r="H33" s="417" t="str">
        <f>_xlfn.IFNA(INDEX('MCODE Final Mapping'!$L$6:$L$67,MATCH('2024 Consumer Focus'!$I33,'MCODE Final Mapping'!$K$6:$K$67,0)),"-")</f>
        <v>PROMO-US-2024 KEYTRUDA H&amp;N</v>
      </c>
      <c r="I33" s="417" t="s">
        <v>153</v>
      </c>
      <c r="J33" s="417" t="s">
        <v>461</v>
      </c>
      <c r="K33" s="818" t="s">
        <v>461</v>
      </c>
    </row>
    <row r="34" spans="1:12" ht="29.15" customHeight="1" x14ac:dyDescent="0.35">
      <c r="A34" s="1018" t="s">
        <v>632</v>
      </c>
      <c r="B34" s="1019"/>
      <c r="C34" s="1020"/>
      <c r="G34" s="416" t="str">
        <f>INDEX('Raw Forecasting NPS Data'!$D$6:$D$166,MATCH(I34,'Raw Forecasting NPS Data'!$I$6:$I$166,0))</f>
        <v>Head &amp; Neck</v>
      </c>
      <c r="H34" s="417" t="str">
        <f>_xlfn.IFNA(INDEX('MCODE Final Mapping'!$L$6:$L$67,MATCH('2024 Consumer Focus'!$I34,'MCODE Final Mapping'!$K$6:$K$67,0)),"-")</f>
        <v>PROMO-US-2024 KEYTRUDA H&amp;N</v>
      </c>
      <c r="I34" s="417" t="s">
        <v>156</v>
      </c>
      <c r="J34" s="417" t="s">
        <v>461</v>
      </c>
      <c r="K34" s="818" t="s">
        <v>461</v>
      </c>
    </row>
    <row r="35" spans="1:12" ht="29.5" customHeight="1" x14ac:dyDescent="0.35">
      <c r="A35" s="1011" t="s">
        <v>633</v>
      </c>
      <c r="B35" s="1012"/>
      <c r="C35" s="1013"/>
      <c r="G35" s="416" t="str">
        <f>INDEX('Raw Forecasting NPS Data'!$D$6:$D$166,MATCH(I35,'Raw Forecasting NPS Data'!$I$6:$I$166,0))</f>
        <v>Hodgkins Lymphoma</v>
      </c>
      <c r="H35" s="417" t="str">
        <f>_xlfn.IFNA(INDEX('MCODE Final Mapping'!$L$6:$L$67,MATCH('2024 Consumer Focus'!$I35,'MCODE Final Mapping'!$K$6:$K$67,0)),"-")</f>
        <v>PROMO-US-2024 KEYTRUDA HEME / cHL</v>
      </c>
      <c r="I35" s="417" t="s">
        <v>163</v>
      </c>
      <c r="J35" s="417" t="s">
        <v>913</v>
      </c>
      <c r="K35" s="818" t="s">
        <v>908</v>
      </c>
      <c r="L35" s="822" t="s">
        <v>1160</v>
      </c>
    </row>
    <row r="36" spans="1:12" ht="20.149999999999999" customHeight="1" x14ac:dyDescent="0.35">
      <c r="A36" s="1011" t="s">
        <v>634</v>
      </c>
      <c r="B36" s="1012"/>
      <c r="C36" s="1013"/>
      <c r="G36" s="416" t="str">
        <f>INDEX('Raw Forecasting NPS Data'!$D$6:$D$166,MATCH(I36,'Raw Forecasting NPS Data'!$I$6:$I$166,0))</f>
        <v>HR+ HER2- Breast Cancer</v>
      </c>
      <c r="H36" s="417" t="str">
        <f>_xlfn.IFNA(INDEX('MCODE Final Mapping'!$L$6:$L$67,MATCH('2024 Consumer Focus'!$I36,'MCODE Final Mapping'!$K$6:$K$67,0)),"-")</f>
        <v>PROMO-US-2024 KEYTRUDA BREAST CANC</v>
      </c>
      <c r="I36" s="417" t="s">
        <v>168</v>
      </c>
      <c r="J36" s="417" t="s">
        <v>459</v>
      </c>
      <c r="K36" s="818" t="s">
        <v>459</v>
      </c>
    </row>
    <row r="37" spans="1:12" x14ac:dyDescent="0.35">
      <c r="A37" s="1011" t="s">
        <v>635</v>
      </c>
      <c r="B37" s="1012"/>
      <c r="C37" s="1013"/>
      <c r="G37" s="416" t="str">
        <f>INDEX('Raw Forecasting NPS Data'!$D$6:$D$166,MATCH(I37,'Raw Forecasting NPS Data'!$I$6:$I$166,0))</f>
        <v>Melanoma Stage III</v>
      </c>
      <c r="H37" s="417" t="str">
        <f>_xlfn.IFNA(INDEX('MCODE Final Mapping'!$L$6:$L$67,MATCH('2024 Consumer Focus'!$I37,'MCODE Final Mapping'!$K$6:$K$67,0)),"-")</f>
        <v>PROMO-US-2024 KEYTRUDA SKIN CANCER</v>
      </c>
      <c r="I37" s="417" t="s">
        <v>173</v>
      </c>
      <c r="J37" s="417" t="s">
        <v>459</v>
      </c>
      <c r="K37" s="818" t="s">
        <v>459</v>
      </c>
    </row>
    <row r="38" spans="1:12" ht="20.5" customHeight="1" x14ac:dyDescent="0.35">
      <c r="A38" s="1011" t="s">
        <v>636</v>
      </c>
      <c r="B38" s="1012"/>
      <c r="C38" s="1013"/>
      <c r="G38" s="416" t="str">
        <f>INDEX('Raw Forecasting NPS Data'!$D$6:$D$166,MATCH(I38,'Raw Forecasting NPS Data'!$I$6:$I$166,0))</f>
        <v>Melanoma Stage II</v>
      </c>
      <c r="H38" s="417" t="str">
        <f>_xlfn.IFNA(INDEX('MCODE Final Mapping'!$L$6:$L$67,MATCH('2024 Consumer Focus'!$I38,'MCODE Final Mapping'!$K$6:$K$67,0)),"-")</f>
        <v>PROMO-US-2024 KEYTRUDA SKIN CANCER</v>
      </c>
      <c r="I38" s="417" t="s">
        <v>177</v>
      </c>
      <c r="J38" s="417" t="s">
        <v>459</v>
      </c>
      <c r="K38" s="818" t="s">
        <v>459</v>
      </c>
    </row>
    <row r="39" spans="1:12" ht="28.5" customHeight="1" x14ac:dyDescent="0.35">
      <c r="A39" s="1011" t="s">
        <v>637</v>
      </c>
      <c r="B39" s="1012"/>
      <c r="C39" s="1013"/>
      <c r="G39" s="416" t="str">
        <f>INDEX('Raw Forecasting NPS Data'!$D$6:$D$166,MATCH(I39,'Raw Forecasting NPS Data'!$I$6:$I$166,0))</f>
        <v>Melanoma</v>
      </c>
      <c r="H39" s="417" t="str">
        <f>_xlfn.IFNA(INDEX('MCODE Final Mapping'!$L$6:$L$67,MATCH('2024 Consumer Focus'!$I39,'MCODE Final Mapping'!$K$6:$K$67,0)),"-")</f>
        <v>PROMO-US-2024 KEYTRUDA SKIN CANCER</v>
      </c>
      <c r="I39" s="417" t="s">
        <v>181</v>
      </c>
      <c r="J39" s="417" t="s">
        <v>459</v>
      </c>
      <c r="K39" s="818" t="s">
        <v>459</v>
      </c>
    </row>
    <row r="40" spans="1:12" ht="31" customHeight="1" x14ac:dyDescent="0.35">
      <c r="A40" s="1011" t="s">
        <v>638</v>
      </c>
      <c r="B40" s="1012"/>
      <c r="C40" s="1013"/>
      <c r="G40" s="416" t="str">
        <f>INDEX('Raw Forecasting NPS Data'!$D$6:$D$166,MATCH(I40,'Raw Forecasting NPS Data'!$I$6:$I$166,0))</f>
        <v>Melanoma</v>
      </c>
      <c r="H40" s="417" t="str">
        <f>_xlfn.IFNA(INDEX('MCODE Final Mapping'!$L$6:$L$67,MATCH('2024 Consumer Focus'!$I40,'MCODE Final Mapping'!$K$6:$K$67,0)),"-")</f>
        <v>PROMO-US-2024 KEYTRUDA SKIN CANCER</v>
      </c>
      <c r="I40" s="417" t="s">
        <v>184</v>
      </c>
      <c r="J40" s="417" t="s">
        <v>459</v>
      </c>
      <c r="K40" s="818" t="s">
        <v>459</v>
      </c>
    </row>
    <row r="41" spans="1:12" ht="30.65" customHeight="1" thickBot="1" x14ac:dyDescent="0.4">
      <c r="A41" s="1014" t="s">
        <v>639</v>
      </c>
      <c r="B41" s="1015"/>
      <c r="C41" s="1016"/>
      <c r="G41" s="416" t="str">
        <f>INDEX('Raw Forecasting NPS Data'!$D$6:$D$166,MATCH(I41,'Raw Forecasting NPS Data'!$I$6:$I$166,0))</f>
        <v>Merkel Cell</v>
      </c>
      <c r="H41" s="417" t="str">
        <f>_xlfn.IFNA(INDEX('MCODE Final Mapping'!$L$6:$L$67,MATCH('2024 Consumer Focus'!$I41,'MCODE Final Mapping'!$K$6:$K$67,0)),"-")</f>
        <v>PROMO-US-2024 KEYTRUDA SKIN CANCER</v>
      </c>
      <c r="I41" s="417" t="s">
        <v>188</v>
      </c>
      <c r="J41" s="417" t="s">
        <v>913</v>
      </c>
      <c r="K41" s="818" t="s">
        <v>459</v>
      </c>
      <c r="L41" s="822" t="s">
        <v>1161</v>
      </c>
    </row>
    <row r="42" spans="1:12" ht="23.5" customHeight="1" x14ac:dyDescent="0.35">
      <c r="G42" s="416" t="str">
        <f>INDEX('Raw Forecasting NPS Data'!$D$6:$D$166,MATCH(I42,'Raw Forecasting NPS Data'!$I$6:$I$166,0))</f>
        <v>Mesothelioma</v>
      </c>
      <c r="H42" s="417" t="str">
        <f>_xlfn.IFNA(INDEX('MCODE Final Mapping'!$L$6:$L$67,MATCH('2024 Consumer Focus'!$I42,'MCODE Final Mapping'!$K$6:$K$67,0)),"-")</f>
        <v>PROMO-US-2024 KEYTRUDA LUNG</v>
      </c>
      <c r="I42" s="417" t="s">
        <v>192</v>
      </c>
      <c r="J42" s="417" t="s">
        <v>913</v>
      </c>
      <c r="K42" s="818" t="s">
        <v>459</v>
      </c>
      <c r="L42" s="822" t="s">
        <v>1162</v>
      </c>
    </row>
    <row r="43" spans="1:12" x14ac:dyDescent="0.35">
      <c r="G43" s="416" t="str">
        <f>INDEX('Raw Forecasting NPS Data'!$D$6:$D$166,MATCH(I43,'Raw Forecasting NPS Data'!$I$6:$I$166,0))</f>
        <v>Urothelial</v>
      </c>
      <c r="H43" s="417" t="str">
        <f>_xlfn.IFNA(INDEX('MCODE Final Mapping'!$L$6:$L$67,MATCH('2024 Consumer Focus'!$I43,'MCODE Final Mapping'!$K$6:$K$67,0)),"-")</f>
        <v>PROMO-US-2024 KEYTRUDA BLAD - mUC</v>
      </c>
      <c r="I43" s="417" t="s">
        <v>197</v>
      </c>
      <c r="J43" s="417" t="s">
        <v>461</v>
      </c>
      <c r="K43" s="818" t="s">
        <v>461</v>
      </c>
    </row>
    <row r="44" spans="1:12" x14ac:dyDescent="0.35">
      <c r="G44" s="416" t="str">
        <f>INDEX('Raw Forecasting NPS Data'!$D$6:$D$166,MATCH(I44,'Raw Forecasting NPS Data'!$I$6:$I$166,0))</f>
        <v>Urothelial</v>
      </c>
      <c r="H44" s="417" t="str">
        <f>_xlfn.IFNA(INDEX('MCODE Final Mapping'!$L$6:$L$67,MATCH('2024 Consumer Focus'!$I44,'MCODE Final Mapping'!$K$6:$K$67,0)),"-")</f>
        <v>PROMO-US-2024 KEYTRUDA BLAD - mUC</v>
      </c>
      <c r="I44" s="417" t="s">
        <v>200</v>
      </c>
      <c r="J44" s="417" t="s">
        <v>461</v>
      </c>
      <c r="K44" s="818" t="s">
        <v>461</v>
      </c>
    </row>
    <row r="45" spans="1:12" x14ac:dyDescent="0.35">
      <c r="G45" s="416" t="str">
        <f>INDEX('Raw Forecasting NPS Data'!$D$6:$D$166,MATCH(I45,'Raw Forecasting NPS Data'!$I$6:$I$166,0))</f>
        <v>MIBC</v>
      </c>
      <c r="H45" s="417" t="str">
        <f>_xlfn.IFNA(INDEX('MCODE Final Mapping'!$L$6:$L$67,MATCH('2024 Consumer Focus'!$I45,'MCODE Final Mapping'!$K$6:$K$67,0)),"-")</f>
        <v>-</v>
      </c>
      <c r="I45" s="417" t="s">
        <v>205</v>
      </c>
      <c r="J45" s="417" t="s">
        <v>913</v>
      </c>
      <c r="K45" s="818" t="s">
        <v>461</v>
      </c>
      <c r="L45" s="822" t="s">
        <v>1163</v>
      </c>
    </row>
    <row r="46" spans="1:12" x14ac:dyDescent="0.35">
      <c r="G46" s="416" t="str">
        <f>INDEX('Raw Forecasting NPS Data'!$D$6:$D$166,MATCH(I46,'Raw Forecasting NPS Data'!$I$6:$I$166,0))</f>
        <v>MIBC</v>
      </c>
      <c r="H46" s="417" t="str">
        <f>_xlfn.IFNA(INDEX('MCODE Final Mapping'!$L$6:$L$67,MATCH('2024 Consumer Focus'!$I46,'MCODE Final Mapping'!$K$6:$K$67,0)),"-")</f>
        <v>PROMO-US-2024 KEYTRUDA BLAD - MIBC</v>
      </c>
      <c r="I46" s="417" t="s">
        <v>348</v>
      </c>
      <c r="J46" s="417" t="s">
        <v>913</v>
      </c>
      <c r="K46" s="818" t="s">
        <v>461</v>
      </c>
    </row>
    <row r="47" spans="1:12" x14ac:dyDescent="0.35">
      <c r="G47" s="416" t="str">
        <f>INDEX('Raw Forecasting NPS Data'!$D$6:$D$166,MATCH(I47,'Raw Forecasting NPS Data'!$I$6:$I$166,0))</f>
        <v>MIBC</v>
      </c>
      <c r="H47" s="417" t="str">
        <f>_xlfn.IFNA(INDEX('MCODE Final Mapping'!$L$6:$L$67,MATCH('2024 Consumer Focus'!$I47,'MCODE Final Mapping'!$K$6:$K$67,0)),"-")</f>
        <v>PROMO-US-2024 KEYTRUDA BLAD - MIBC</v>
      </c>
      <c r="I47" s="417" t="s">
        <v>349</v>
      </c>
      <c r="J47" s="417" t="s">
        <v>913</v>
      </c>
      <c r="K47" s="818" t="s">
        <v>461</v>
      </c>
    </row>
    <row r="48" spans="1:12" x14ac:dyDescent="0.35">
      <c r="G48" s="416" t="str">
        <f>INDEX('Raw Forecasting NPS Data'!$D$6:$D$166,MATCH(I48,'Raw Forecasting NPS Data'!$I$6:$I$166,0))</f>
        <v>MIBC</v>
      </c>
      <c r="H48" s="417" t="str">
        <f>_xlfn.IFNA(INDEX('MCODE Final Mapping'!$L$6:$L$67,MATCH('2024 Consumer Focus'!$I48,'MCODE Final Mapping'!$K$6:$K$67,0)),"-")</f>
        <v>PROMO-US-2024 KEYTRUDA BLAD - MIBC</v>
      </c>
      <c r="I48" s="417" t="s">
        <v>350</v>
      </c>
      <c r="J48" s="417" t="s">
        <v>913</v>
      </c>
      <c r="K48" s="818" t="s">
        <v>461</v>
      </c>
    </row>
    <row r="49" spans="7:12" x14ac:dyDescent="0.35">
      <c r="G49" s="416" t="str">
        <f>INDEX('Raw Forecasting NPS Data'!$D$6:$D$166,MATCH(I49,'Raw Forecasting NPS Data'!$I$6:$I$166,0))</f>
        <v>MSI High Non CRC Non Endo</v>
      </c>
      <c r="H49" s="417" t="str">
        <f>_xlfn.IFNA(INDEX('MCODE Final Mapping'!$L$6:$L$67,MATCH('2024 Consumer Focus'!$I49,'MCODE Final Mapping'!$K$6:$K$67,0)),"-")</f>
        <v>PROMO-US-2024 KEYTRUDA GI</v>
      </c>
      <c r="I49" s="417" t="s">
        <v>216</v>
      </c>
      <c r="J49" s="417" t="s">
        <v>461</v>
      </c>
      <c r="K49" s="818" t="s">
        <v>461</v>
      </c>
    </row>
    <row r="50" spans="7:12" x14ac:dyDescent="0.35">
      <c r="G50" s="416" t="str">
        <f>INDEX('Raw Forecasting NPS Data'!$D$6:$D$166,MATCH(I50,'Raw Forecasting NPS Data'!$I$6:$I$166,0))</f>
        <v>NMIBC BCG Naïve</v>
      </c>
      <c r="H50" s="417" t="str">
        <f>_xlfn.IFNA(INDEX('MCODE Final Mapping'!$L$6:$L$67,MATCH('2024 Consumer Focus'!$I50,'MCODE Final Mapping'!$K$6:$K$67,0)),"-")</f>
        <v>PROMO-US-2024 KEYTRUDA BLAD -NMIBC</v>
      </c>
      <c r="I50" s="417" t="s">
        <v>222</v>
      </c>
      <c r="J50" s="417" t="s">
        <v>461</v>
      </c>
      <c r="K50" s="818" t="s">
        <v>461</v>
      </c>
    </row>
    <row r="51" spans="7:12" x14ac:dyDescent="0.35">
      <c r="G51" s="416" t="str">
        <f>INDEX('Raw Forecasting NPS Data'!$D$6:$D$166,MATCH(I51,'Raw Forecasting NPS Data'!$I$6:$I$166,0))</f>
        <v>NMIBC BCG Persistent</v>
      </c>
      <c r="H51" s="417" t="str">
        <f>_xlfn.IFNA(INDEX('MCODE Final Mapping'!$L$6:$L$67,MATCH('2024 Consumer Focus'!$I51,'MCODE Final Mapping'!$K$6:$K$67,0)),"-")</f>
        <v>PROMO-US-2024 KEYTRUDA BLAD -NMIBC</v>
      </c>
      <c r="I51" s="417" t="s">
        <v>225</v>
      </c>
      <c r="J51" s="417" t="s">
        <v>461</v>
      </c>
      <c r="K51" s="818" t="s">
        <v>461</v>
      </c>
    </row>
    <row r="52" spans="7:12" x14ac:dyDescent="0.35">
      <c r="G52" s="416" t="str">
        <f>INDEX('Raw Forecasting NPS Data'!$D$6:$D$166,MATCH(I52,'Raw Forecasting NPS Data'!$I$6:$I$166,0))</f>
        <v>NMIBC</v>
      </c>
      <c r="H52" s="417" t="str">
        <f>_xlfn.IFNA(INDEX('MCODE Final Mapping'!$L$6:$L$67,MATCH('2024 Consumer Focus'!$I52,'MCODE Final Mapping'!$K$6:$K$67,0)),"-")</f>
        <v>PROMO-US-2024 KEYTRUDA BLAD -NMIBC</v>
      </c>
      <c r="I52" s="417" t="s">
        <v>227</v>
      </c>
      <c r="J52" s="417" t="s">
        <v>461</v>
      </c>
      <c r="K52" s="818" t="s">
        <v>461</v>
      </c>
    </row>
    <row r="53" spans="7:12" x14ac:dyDescent="0.35">
      <c r="G53" s="416" t="str">
        <f>INDEX('Raw Forecasting NPS Data'!$D$6:$D$166,MATCH(I53,'Raw Forecasting NPS Data'!$I$6:$I$166,0))</f>
        <v>NSCLC</v>
      </c>
      <c r="H53" s="417" t="str">
        <f>_xlfn.IFNA(INDEX('MCODE Final Mapping'!$L$6:$L$67,MATCH('2024 Consumer Focus'!$I53,'MCODE Final Mapping'!$K$6:$K$67,0)),"-")</f>
        <v>PROMO-US-2024 KEYTRUDA LUNG</v>
      </c>
      <c r="I53" s="417" t="s">
        <v>233</v>
      </c>
      <c r="J53" s="417" t="s">
        <v>459</v>
      </c>
      <c r="K53" s="818" t="s">
        <v>459</v>
      </c>
    </row>
    <row r="54" spans="7:12" x14ac:dyDescent="0.35">
      <c r="G54" s="715" t="str">
        <f>INDEX('Raw Forecasting NPS Data'!$D$6:$D$166,MATCH(I54,'Raw Forecasting NPS Data'!$I$6:$I$166,0))</f>
        <v>NSCLC</v>
      </c>
      <c r="H54" s="716" t="str">
        <f>_xlfn.IFNA(INDEX('MCODE Final Mapping'!$L$6:$L$67,MATCH('2024 Consumer Focus'!$I54,'MCODE Final Mapping'!$K$6:$K$67,0)),"-")</f>
        <v>-</v>
      </c>
      <c r="I54" s="716" t="s">
        <v>239</v>
      </c>
      <c r="J54" s="716" t="s">
        <v>459</v>
      </c>
      <c r="K54" s="820" t="s">
        <v>1158</v>
      </c>
      <c r="L54" s="822" t="s">
        <v>1158</v>
      </c>
    </row>
    <row r="55" spans="7:12" x14ac:dyDescent="0.35">
      <c r="G55" s="416" t="str">
        <f>INDEX('Raw Forecasting NPS Data'!$D$6:$D$166,MATCH(I55,'Raw Forecasting NPS Data'!$I$6:$I$166,0))</f>
        <v>NSCLC</v>
      </c>
      <c r="H55" s="417" t="str">
        <f>_xlfn.IFNA(INDEX('MCODE Final Mapping'!$L$6:$L$67,MATCH('2024 Consumer Focus'!$I55,'MCODE Final Mapping'!$K$6:$K$67,0)),"-")</f>
        <v>PROMO-US-2024 KEYTRUDA LUNG</v>
      </c>
      <c r="I55" s="417" t="s">
        <v>244</v>
      </c>
      <c r="J55" s="417" t="s">
        <v>459</v>
      </c>
      <c r="K55" s="818" t="s">
        <v>459</v>
      </c>
    </row>
    <row r="56" spans="7:12" x14ac:dyDescent="0.35">
      <c r="G56" s="416" t="str">
        <f>INDEX('Raw Forecasting NPS Data'!$D$6:$D$166,MATCH(I56,'Raw Forecasting NPS Data'!$I$6:$I$166,0))</f>
        <v>NSCLC</v>
      </c>
      <c r="H56" s="417" t="str">
        <f>_xlfn.IFNA(INDEX('MCODE Final Mapping'!$L$6:$L$67,MATCH('2024 Consumer Focus'!$I56,'MCODE Final Mapping'!$K$6:$K$67,0)),"-")</f>
        <v>PROMO-US-2024 KEYTRUDA LUNG</v>
      </c>
      <c r="I56" s="417" t="s">
        <v>250</v>
      </c>
      <c r="J56" s="417" t="s">
        <v>459</v>
      </c>
      <c r="K56" s="818" t="s">
        <v>459</v>
      </c>
    </row>
    <row r="57" spans="7:12" x14ac:dyDescent="0.35">
      <c r="G57" s="715" t="str">
        <f>INDEX('Raw Forecasting NPS Data'!$D$6:$D$166,MATCH(I57,'Raw Forecasting NPS Data'!$I$6:$I$166,0))</f>
        <v>NSCLC</v>
      </c>
      <c r="H57" s="716" t="str">
        <f>_xlfn.IFNA(INDEX('MCODE Final Mapping'!$L$6:$L$67,MATCH('2024 Consumer Focus'!$I57,'MCODE Final Mapping'!$K$6:$K$67,0)),"-")</f>
        <v>-</v>
      </c>
      <c r="I57" s="716" t="s">
        <v>253</v>
      </c>
      <c r="J57" s="716" t="s">
        <v>459</v>
      </c>
      <c r="K57" s="820" t="s">
        <v>1158</v>
      </c>
      <c r="L57" s="822" t="s">
        <v>1158</v>
      </c>
    </row>
    <row r="58" spans="7:12" x14ac:dyDescent="0.35">
      <c r="G58" s="416" t="str">
        <f>INDEX('Raw Forecasting NPS Data'!$D$6:$D$166,MATCH(I58,'Raw Forecasting NPS Data'!$I$6:$I$166,0))</f>
        <v>NSCLC</v>
      </c>
      <c r="H58" s="417" t="str">
        <f>_xlfn.IFNA(INDEX('MCODE Final Mapping'!$L$6:$L$67,MATCH('2024 Consumer Focus'!$I58,'MCODE Final Mapping'!$K$6:$K$67,0)),"-")</f>
        <v>PROMO-US-2024 KEYTRUDA LUNG</v>
      </c>
      <c r="I58" s="417" t="s">
        <v>258</v>
      </c>
      <c r="J58" s="417" t="s">
        <v>459</v>
      </c>
      <c r="K58" s="818" t="s">
        <v>459</v>
      </c>
    </row>
    <row r="59" spans="7:12" x14ac:dyDescent="0.35">
      <c r="G59" s="416" t="str">
        <f>INDEX('Raw Forecasting NPS Data'!$D$6:$D$166,MATCH(I59,'Raw Forecasting NPS Data'!$I$6:$I$166,0))</f>
        <v>NSCLC</v>
      </c>
      <c r="H59" s="417" t="str">
        <f>_xlfn.IFNA(INDEX('MCODE Final Mapping'!$L$6:$L$67,MATCH('2024 Consumer Focus'!$I59,'MCODE Final Mapping'!$K$6:$K$67,0)),"-")</f>
        <v>PROMO-US-2024 LENVIMA LUNG</v>
      </c>
      <c r="I59" s="417" t="s">
        <v>261</v>
      </c>
      <c r="J59" s="417" t="s">
        <v>459</v>
      </c>
      <c r="K59" s="818" t="s">
        <v>459</v>
      </c>
    </row>
    <row r="60" spans="7:12" x14ac:dyDescent="0.35">
      <c r="G60" s="416" t="str">
        <f>INDEX('Raw Forecasting NPS Data'!$D$6:$D$166,MATCH(I60,'Raw Forecasting NPS Data'!$I$6:$I$166,0))</f>
        <v>NSCLC</v>
      </c>
      <c r="H60" s="417" t="str">
        <f>_xlfn.IFNA(INDEX('MCODE Final Mapping'!$L$6:$L$67,MATCH('2024 Consumer Focus'!$I60,'MCODE Final Mapping'!$K$6:$K$67,0)),"-")</f>
        <v>PROMO-US-2024 LENVIMA LUNG</v>
      </c>
      <c r="I60" s="417" t="s">
        <v>264</v>
      </c>
      <c r="J60" s="417" t="s">
        <v>459</v>
      </c>
      <c r="K60" s="818" t="s">
        <v>459</v>
      </c>
    </row>
    <row r="61" spans="7:12" x14ac:dyDescent="0.35">
      <c r="G61" s="416" t="str">
        <f>INDEX('Raw Forecasting NPS Data'!$D$6:$D$166,MATCH(I61,'Raw Forecasting NPS Data'!$I$6:$I$166,0))</f>
        <v>NSCLC</v>
      </c>
      <c r="H61" s="417" t="str">
        <f>_xlfn.IFNA(INDEX('MCODE Final Mapping'!$L$6:$L$67,MATCH('2024 Consumer Focus'!$I61,'MCODE Final Mapping'!$K$6:$K$67,0)),"-")</f>
        <v>PROMO-US-2024 KEYTRUDA LUNG</v>
      </c>
      <c r="I61" s="417" t="s">
        <v>269</v>
      </c>
      <c r="J61" s="417" t="s">
        <v>459</v>
      </c>
      <c r="K61" s="818" t="s">
        <v>459</v>
      </c>
    </row>
    <row r="62" spans="7:12" x14ac:dyDescent="0.35">
      <c r="G62" s="416" t="str">
        <f>INDEX('Raw Forecasting NPS Data'!$D$6:$D$166,MATCH(I62,'Raw Forecasting NPS Data'!$I$6:$I$166,0))</f>
        <v>NSCLC</v>
      </c>
      <c r="H62" s="417" t="str">
        <f>_xlfn.IFNA(INDEX('MCODE Final Mapping'!$L$6:$L$67,MATCH('2024 Consumer Focus'!$I62,'MCODE Final Mapping'!$K$6:$K$67,0)),"-")</f>
        <v>PROMO-US-2024 KEYTRUDA LUNG</v>
      </c>
      <c r="I62" s="417" t="s">
        <v>272</v>
      </c>
      <c r="J62" s="417" t="s">
        <v>459</v>
      </c>
      <c r="K62" s="818" t="s">
        <v>459</v>
      </c>
    </row>
    <row r="63" spans="7:12" x14ac:dyDescent="0.35">
      <c r="G63" s="416" t="str">
        <f>INDEX('Raw Forecasting NPS Data'!$D$6:$D$166,MATCH(I63,'Raw Forecasting NPS Data'!$I$6:$I$166,0))</f>
        <v>Ovarian</v>
      </c>
      <c r="H63" s="417" t="str">
        <f>_xlfn.IFNA(INDEX('MCODE Final Mapping'!$L$6:$L$67,MATCH('2024 Consumer Focus'!$I63,'MCODE Final Mapping'!$K$6:$K$67,0)),"-")</f>
        <v>PROMO-US-2024 KEYTRUDA OVARIAN AND GYN</v>
      </c>
      <c r="I63" s="417" t="s">
        <v>278</v>
      </c>
      <c r="J63" s="417" t="s">
        <v>908</v>
      </c>
      <c r="K63" s="818" t="s">
        <v>908</v>
      </c>
    </row>
    <row r="64" spans="7:12" x14ac:dyDescent="0.35">
      <c r="G64" s="416" t="str">
        <f>INDEX('Raw Forecasting NPS Data'!$D$6:$D$166,MATCH(I64,'Raw Forecasting NPS Data'!$I$6:$I$166,0))</f>
        <v>RCC</v>
      </c>
      <c r="H64" s="417" t="str">
        <f>_xlfn.IFNA(INDEX('MCODE Final Mapping'!$L$6:$L$67,MATCH('2024 Consumer Focus'!$I64,'MCODE Final Mapping'!$K$6:$K$67,0)),"-")</f>
        <v>PROMO-US-2024 LENVIMA RCC</v>
      </c>
      <c r="I64" s="417" t="s">
        <v>291</v>
      </c>
      <c r="J64" s="417" t="s">
        <v>459</v>
      </c>
      <c r="K64" s="818" t="s">
        <v>459</v>
      </c>
    </row>
    <row r="65" spans="7:12" x14ac:dyDescent="0.35">
      <c r="G65" s="416" t="str">
        <f>INDEX('Raw Forecasting NPS Data'!$D$6:$D$166,MATCH(I65,'Raw Forecasting NPS Data'!$I$6:$I$166,0))</f>
        <v>RCC</v>
      </c>
      <c r="H65" s="417" t="str">
        <f>_xlfn.IFNA(INDEX('MCODE Final Mapping'!$L$6:$L$67,MATCH('2024 Consumer Focus'!$I65,'MCODE Final Mapping'!$K$6:$K$67,0)),"-")</f>
        <v>PROMO-US-2024 KEYTRUDA ADJUVANT RCC</v>
      </c>
      <c r="I65" s="417" t="s">
        <v>351</v>
      </c>
      <c r="J65" s="417" t="s">
        <v>459</v>
      </c>
      <c r="K65" s="818" t="s">
        <v>459</v>
      </c>
    </row>
    <row r="66" spans="7:12" x14ac:dyDescent="0.35">
      <c r="G66" s="715" t="str">
        <f>INDEX('Raw Forecasting NPS Data'!$D$6:$D$166,MATCH(I66,'Raw Forecasting NPS Data'!$I$6:$I$166,0))</f>
        <v>RCC</v>
      </c>
      <c r="H66" s="716" t="str">
        <f>_xlfn.IFNA(INDEX('MCODE Final Mapping'!$L$6:$L$67,MATCH('2024 Consumer Focus'!$I66,'MCODE Final Mapping'!$K$6:$K$67,0)),"-")</f>
        <v>-</v>
      </c>
      <c r="I66" s="716" t="s">
        <v>298</v>
      </c>
      <c r="J66" s="716" t="s">
        <v>459</v>
      </c>
      <c r="K66" s="820" t="s">
        <v>1159</v>
      </c>
    </row>
    <row r="67" spans="7:12" x14ac:dyDescent="0.35">
      <c r="G67" s="416" t="str">
        <f>INDEX('Raw Forecasting NPS Data'!$D$6:$D$166,MATCH(I67,'Raw Forecasting NPS Data'!$I$6:$I$166,0))</f>
        <v>RCC</v>
      </c>
      <c r="H67" s="417" t="str">
        <f>_xlfn.IFNA(INDEX('MCODE Final Mapping'!$L$6:$L$67,MATCH('2024 Consumer Focus'!$I67,'MCODE Final Mapping'!$K$6:$K$67,0)),"-")</f>
        <v>PROMO-US-2024 LENVIMA RCC</v>
      </c>
      <c r="I67" s="417" t="s">
        <v>301</v>
      </c>
      <c r="J67" s="417" t="s">
        <v>459</v>
      </c>
      <c r="K67" s="818" t="s">
        <v>459</v>
      </c>
    </row>
    <row r="68" spans="7:12" x14ac:dyDescent="0.35">
      <c r="G68" s="416" t="str">
        <f>INDEX('Raw Forecasting NPS Data'!$D$6:$D$166,MATCH(I68,'Raw Forecasting NPS Data'!$I$6:$I$166,0))</f>
        <v>RCC</v>
      </c>
      <c r="H68" s="417" t="str">
        <f>_xlfn.IFNA(INDEX('MCODE Final Mapping'!$L$6:$L$67,MATCH('2024 Consumer Focus'!$I68,'MCODE Final Mapping'!$K$6:$K$67,0)),"-")</f>
        <v>PROMO-US-2024 WELIREG TUMORS</v>
      </c>
      <c r="I68" s="417" t="s">
        <v>306</v>
      </c>
      <c r="J68" s="417" t="s">
        <v>459</v>
      </c>
      <c r="K68" s="818" t="s">
        <v>459</v>
      </c>
    </row>
    <row r="69" spans="7:12" x14ac:dyDescent="0.35">
      <c r="G69" s="715" t="str">
        <f>INDEX('Raw Forecasting NPS Data'!$D$6:$D$166,MATCH(I69,'Raw Forecasting NPS Data'!$I$6:$I$166,0))</f>
        <v>SCLC</v>
      </c>
      <c r="H69" s="716" t="str">
        <f>_xlfn.IFNA(INDEX('MCODE Final Mapping'!$L$6:$L$67,MATCH('2024 Consumer Focus'!$I69,'MCODE Final Mapping'!$K$6:$K$67,0)),"-")</f>
        <v>-</v>
      </c>
      <c r="I69" s="716" t="s">
        <v>313</v>
      </c>
      <c r="J69" s="716" t="s">
        <v>913</v>
      </c>
      <c r="K69" s="820" t="s">
        <v>913</v>
      </c>
      <c r="L69" s="822" t="s">
        <v>1158</v>
      </c>
    </row>
    <row r="70" spans="7:12" x14ac:dyDescent="0.35">
      <c r="G70" s="416" t="str">
        <f>INDEX('Raw Forecasting NPS Data'!$D$6:$D$166,MATCH(I70,'Raw Forecasting NPS Data'!$I$6:$I$166,0))</f>
        <v>TNBC</v>
      </c>
      <c r="H70" s="417" t="str">
        <f>_xlfn.IFNA(INDEX('MCODE Final Mapping'!$L$6:$L$67,MATCH('2024 Consumer Focus'!$I70,'MCODE Final Mapping'!$K$6:$K$67,0)),"-")</f>
        <v>PROMO-US-2024 KEYTRUDA BREAST CANC</v>
      </c>
      <c r="I70" s="417" t="s">
        <v>323</v>
      </c>
      <c r="J70" s="417" t="s">
        <v>913</v>
      </c>
      <c r="K70" s="818" t="s">
        <v>459</v>
      </c>
      <c r="L70" s="821" t="s">
        <v>1164</v>
      </c>
    </row>
    <row r="71" spans="7:12" x14ac:dyDescent="0.35">
      <c r="G71" s="416" t="str">
        <f>INDEX('Raw Forecasting NPS Data'!$D$6:$D$166,MATCH(I71,'Raw Forecasting NPS Data'!$I$6:$I$166,0))</f>
        <v>TNBC</v>
      </c>
      <c r="H71" s="417" t="str">
        <f>_xlfn.IFNA(INDEX('MCODE Final Mapping'!$L$6:$L$67,MATCH('2024 Consumer Focus'!$I71,'MCODE Final Mapping'!$K$6:$K$67,0)),"-")</f>
        <v>PROMO-US-2024 KEYTRUDA BREAST CANC</v>
      </c>
      <c r="I71" s="417" t="s">
        <v>325</v>
      </c>
      <c r="J71" s="417" t="s">
        <v>913</v>
      </c>
      <c r="K71" s="818" t="s">
        <v>459</v>
      </c>
      <c r="L71" s="821" t="s">
        <v>1164</v>
      </c>
    </row>
    <row r="72" spans="7:12" x14ac:dyDescent="0.35">
      <c r="G72" s="416" t="str">
        <f>INDEX('Raw Forecasting NPS Data'!$D$6:$D$166,MATCH(I72,'Raw Forecasting NPS Data'!$I$6:$I$166,0))</f>
        <v>TNBC</v>
      </c>
      <c r="H72" s="417" t="str">
        <f>_xlfn.IFNA(INDEX('MCODE Final Mapping'!$L$6:$L$67,MATCH('2024 Consumer Focus'!$I72,'MCODE Final Mapping'!$K$6:$K$67,0)),"-")</f>
        <v>PROMO-US-2024 KEYTRUDA BREAST CANC</v>
      </c>
      <c r="I72" s="417" t="s">
        <v>329</v>
      </c>
      <c r="J72" s="417" t="s">
        <v>913</v>
      </c>
      <c r="K72" s="818" t="s">
        <v>459</v>
      </c>
      <c r="L72" s="821" t="s">
        <v>1164</v>
      </c>
    </row>
    <row r="73" spans="7:12" x14ac:dyDescent="0.35">
      <c r="G73" s="416" t="str">
        <f>INDEX('Raw Forecasting NPS Data'!$D$6:$D$166,MATCH(I73,'Raw Forecasting NPS Data'!$I$6:$I$166,0))</f>
        <v>Urothelial</v>
      </c>
      <c r="H73" s="417" t="str">
        <f>_xlfn.IFNA(INDEX('MCODE Final Mapping'!$L$6:$L$67,MATCH('2024 Consumer Focus'!$I73,'MCODE Final Mapping'!$K$6:$K$67,0)),"-")</f>
        <v>PROMO-US-2024 KEYTRUDA BLAD - mUC</v>
      </c>
      <c r="I73" s="417" t="s">
        <v>336</v>
      </c>
      <c r="J73" s="417" t="s">
        <v>461</v>
      </c>
      <c r="K73" s="818" t="s">
        <v>461</v>
      </c>
    </row>
    <row r="74" spans="7:12" ht="15" thickBot="1" x14ac:dyDescent="0.4">
      <c r="G74" s="419" t="str">
        <f>INDEX('Raw Forecasting NPS Data'!$D$6:$D$166,MATCH(I74,'Raw Forecasting NPS Data'!$I$6:$I$166,0))</f>
        <v>VHL</v>
      </c>
      <c r="H74" s="420" t="str">
        <f>_xlfn.IFNA(INDEX('MCODE Final Mapping'!$L$6:$L$67,MATCH('2024 Consumer Focus'!$I74,'MCODE Final Mapping'!$K$6:$K$67,0)),"-")</f>
        <v>PROMO-US-2024 WELIREG TUMORS</v>
      </c>
      <c r="I74" s="420" t="s">
        <v>342</v>
      </c>
      <c r="J74" s="420" t="s">
        <v>461</v>
      </c>
      <c r="K74" s="819" t="s">
        <v>461</v>
      </c>
    </row>
  </sheetData>
  <mergeCells count="9">
    <mergeCell ref="A39:C39"/>
    <mergeCell ref="A40:C40"/>
    <mergeCell ref="A41:C41"/>
    <mergeCell ref="A1:D1"/>
    <mergeCell ref="A34:C34"/>
    <mergeCell ref="A35:C35"/>
    <mergeCell ref="A36:C36"/>
    <mergeCell ref="A37:C37"/>
    <mergeCell ref="A38:C38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D036-9272-444C-B3B3-97900FCE3EF3}">
  <sheetPr>
    <tabColor theme="4" tint="0.39997558519241921"/>
  </sheetPr>
  <dimension ref="B3:P166"/>
  <sheetViews>
    <sheetView topLeftCell="A9" zoomScaleNormal="100" workbookViewId="0">
      <selection activeCell="F33" sqref="F33"/>
    </sheetView>
  </sheetViews>
  <sheetFormatPr defaultColWidth="8.7265625" defaultRowHeight="14.5" x14ac:dyDescent="0.35"/>
  <cols>
    <col min="1" max="1" width="8.7265625" style="320"/>
    <col min="2" max="2" width="22.1796875" style="320" customWidth="1"/>
    <col min="3" max="3" width="19" style="320" customWidth="1"/>
    <col min="4" max="5" width="17.453125" style="320" customWidth="1"/>
    <col min="6" max="6" width="57.1796875" style="320" customWidth="1"/>
    <col min="7" max="7" width="8.7265625" style="320"/>
    <col min="8" max="8" width="25.26953125" style="320" customWidth="1"/>
    <col min="9" max="9" width="8.7265625" style="320"/>
    <col min="10" max="10" width="25.7265625" style="320" bestFit="1" customWidth="1"/>
    <col min="11" max="11" width="41.54296875" style="320" bestFit="1" customWidth="1"/>
    <col min="12" max="12" width="48.54296875" style="320" bestFit="1" customWidth="1"/>
    <col min="13" max="13" width="14.81640625" style="320" customWidth="1"/>
    <col min="14" max="14" width="23" style="320" customWidth="1"/>
    <col min="15" max="15" width="45.6328125" style="829" customWidth="1"/>
    <col min="16" max="16384" width="8.7265625" style="320"/>
  </cols>
  <sheetData>
    <row r="3" spans="2:16" ht="15" thickBot="1" x14ac:dyDescent="0.4"/>
    <row r="4" spans="2:16" ht="15" thickBot="1" x14ac:dyDescent="0.4">
      <c r="B4" s="1022" t="s">
        <v>697</v>
      </c>
      <c r="C4" s="1023"/>
      <c r="D4" s="1023"/>
      <c r="E4" s="1023"/>
      <c r="F4" s="1024"/>
      <c r="J4" s="782" t="s">
        <v>1100</v>
      </c>
    </row>
    <row r="5" spans="2:16" ht="23" customHeight="1" x14ac:dyDescent="0.35">
      <c r="B5" s="321" t="s">
        <v>698</v>
      </c>
      <c r="C5" s="322" t="s">
        <v>699</v>
      </c>
      <c r="D5" s="323" t="s">
        <v>700</v>
      </c>
      <c r="E5" s="324" t="s">
        <v>701</v>
      </c>
      <c r="F5" s="325" t="s">
        <v>702</v>
      </c>
      <c r="J5" s="816" t="s">
        <v>0</v>
      </c>
      <c r="K5" s="817" t="s">
        <v>357</v>
      </c>
      <c r="L5" s="817" t="s">
        <v>5</v>
      </c>
      <c r="M5" s="817" t="s">
        <v>768</v>
      </c>
      <c r="N5" s="825" t="s">
        <v>1174</v>
      </c>
    </row>
    <row r="6" spans="2:16" ht="58" x14ac:dyDescent="0.35">
      <c r="B6" s="326" t="s">
        <v>703</v>
      </c>
      <c r="C6" s="327" t="s">
        <v>704</v>
      </c>
      <c r="D6" s="328" t="s">
        <v>459</v>
      </c>
      <c r="E6" s="329" t="s">
        <v>459</v>
      </c>
      <c r="F6" s="330" t="s">
        <v>705</v>
      </c>
      <c r="H6" s="331" t="s">
        <v>706</v>
      </c>
      <c r="J6" s="416" t="str">
        <f>INDEX('Raw Forecasting NPS Data'!$D$6:$D$166,MATCH(L6,'Raw Forecasting NPS Data'!$I$6:$I$166,0))</f>
        <v>Biliary</v>
      </c>
      <c r="K6" s="417" t="str">
        <f>_xlfn.IFNA(INDEX('MCODE Final Mapping'!$L$6:$L$67,MATCH('2024 Competitive Landscape'!$L6,'MCODE Final Mapping'!$K$6:$K$67,0)),"-")</f>
        <v>PROMO-US-2024 KEYTRUDA GI</v>
      </c>
      <c r="L6" s="417" t="s">
        <v>27</v>
      </c>
      <c r="M6" s="417" t="s">
        <v>460</v>
      </c>
      <c r="N6" s="418" t="s">
        <v>460</v>
      </c>
    </row>
    <row r="7" spans="2:16" ht="87" x14ac:dyDescent="0.35">
      <c r="B7" s="332" t="s">
        <v>707</v>
      </c>
      <c r="C7" s="333" t="s">
        <v>608</v>
      </c>
      <c r="D7" s="334" t="s">
        <v>708</v>
      </c>
      <c r="E7" s="335" t="s">
        <v>709</v>
      </c>
      <c r="F7" s="336" t="s">
        <v>710</v>
      </c>
      <c r="H7" s="337" t="s">
        <v>711</v>
      </c>
      <c r="J7" s="416" t="str">
        <f>INDEX('Raw Forecasting NPS Data'!$D$6:$D$166,MATCH(L7,'Raw Forecasting NPS Data'!$I$6:$I$166,0))</f>
        <v>Cervical</v>
      </c>
      <c r="K7" s="417" t="str">
        <f>_xlfn.IFNA(INDEX('MCODE Final Mapping'!$L$6:$L$67,MATCH('2024 Competitive Landscape'!$L7,'MCODE Final Mapping'!$K$6:$K$67,0)),"-")</f>
        <v>PROMO-US-2024 KEYTRUDA CERVICAL</v>
      </c>
      <c r="L7" s="417" t="s">
        <v>344</v>
      </c>
      <c r="M7" s="417" t="s">
        <v>460</v>
      </c>
      <c r="N7" s="418" t="s">
        <v>460</v>
      </c>
    </row>
    <row r="8" spans="2:16" ht="43.5" x14ac:dyDescent="0.35">
      <c r="B8" s="332" t="s">
        <v>712</v>
      </c>
      <c r="C8" s="333" t="s">
        <v>704</v>
      </c>
      <c r="D8" s="338" t="s">
        <v>460</v>
      </c>
      <c r="E8" s="339" t="s">
        <v>461</v>
      </c>
      <c r="F8" s="340" t="s">
        <v>713</v>
      </c>
      <c r="H8" s="341" t="s">
        <v>714</v>
      </c>
      <c r="J8" s="416" t="str">
        <f>INDEX('Raw Forecasting NPS Data'!$D$6:$D$166,MATCH(L8,'Raw Forecasting NPS Data'!$I$6:$I$166,0))</f>
        <v>Cervical</v>
      </c>
      <c r="K8" s="417" t="str">
        <f>_xlfn.IFNA(INDEX('MCODE Final Mapping'!$L$6:$L$67,MATCH('2024 Competitive Landscape'!$L8,'MCODE Final Mapping'!$K$6:$K$67,0)),"-")</f>
        <v>PROMO-US-2024 KEYTRUDA CERVICAL</v>
      </c>
      <c r="L8" s="417" t="s">
        <v>345</v>
      </c>
      <c r="M8" s="417" t="s">
        <v>460</v>
      </c>
      <c r="N8" s="418" t="s">
        <v>460</v>
      </c>
    </row>
    <row r="9" spans="2:16" ht="43.5" x14ac:dyDescent="0.35">
      <c r="B9" s="332" t="s">
        <v>715</v>
      </c>
      <c r="C9" s="333" t="s">
        <v>608</v>
      </c>
      <c r="D9" s="342" t="s">
        <v>459</v>
      </c>
      <c r="E9" s="343" t="s">
        <v>459</v>
      </c>
      <c r="F9" s="344" t="s">
        <v>716</v>
      </c>
      <c r="J9" s="416" t="str">
        <f>INDEX('Raw Forecasting NPS Data'!$D$6:$D$166,MATCH(L9,'Raw Forecasting NPS Data'!$I$6:$I$166,0))</f>
        <v>Cervical</v>
      </c>
      <c r="K9" s="417" t="str">
        <f>_xlfn.IFNA(INDEX('MCODE Final Mapping'!$L$6:$L$67,MATCH('2024 Competitive Landscape'!$L9,'MCODE Final Mapping'!$K$6:$K$67,0)),"-")</f>
        <v>PROMO-US-2024 KEYTRUDA CERVICAL</v>
      </c>
      <c r="L9" s="417" t="s">
        <v>346</v>
      </c>
      <c r="M9" s="417" t="s">
        <v>460</v>
      </c>
      <c r="N9" s="418" t="s">
        <v>460</v>
      </c>
    </row>
    <row r="10" spans="2:16" ht="43.5" x14ac:dyDescent="0.35">
      <c r="B10" s="332" t="s">
        <v>717</v>
      </c>
      <c r="C10" s="333" t="s">
        <v>704</v>
      </c>
      <c r="D10" s="345" t="s">
        <v>459</v>
      </c>
      <c r="E10" s="346" t="s">
        <v>459</v>
      </c>
      <c r="F10" s="347" t="s">
        <v>718</v>
      </c>
      <c r="J10" s="715" t="str">
        <f>INDEX('Raw Forecasting NPS Data'!$D$6:$D$166,MATCH(L10,'Raw Forecasting NPS Data'!$I$6:$I$166,0))</f>
        <v>CRC</v>
      </c>
      <c r="K10" s="716" t="str">
        <f>_xlfn.IFNA(INDEX('MCODE Final Mapping'!$L$6:$L$67,MATCH('2024 Competitive Landscape'!$L10,'MCODE Final Mapping'!$K$6:$K$67,0)),"-")</f>
        <v>PROMO-US-2024 LAG-3 (MK-4280A)</v>
      </c>
      <c r="L10" s="716" t="s">
        <v>52</v>
      </c>
      <c r="M10" s="716"/>
      <c r="N10" s="717" t="s">
        <v>1158</v>
      </c>
      <c r="O10" s="1028" t="s">
        <v>1166</v>
      </c>
      <c r="P10" s="1029"/>
    </row>
    <row r="11" spans="2:16" x14ac:dyDescent="0.35">
      <c r="B11" s="332" t="s">
        <v>612</v>
      </c>
      <c r="C11" s="333" t="s">
        <v>608</v>
      </c>
      <c r="D11" s="342" t="s">
        <v>459</v>
      </c>
      <c r="E11" s="348" t="s">
        <v>459</v>
      </c>
      <c r="F11" s="349" t="s">
        <v>719</v>
      </c>
      <c r="J11" s="416" t="str">
        <f>INDEX('Raw Forecasting NPS Data'!$D$6:$D$166,MATCH(L11,'Raw Forecasting NPS Data'!$I$6:$I$166,0))</f>
        <v>CRC</v>
      </c>
      <c r="K11" s="417" t="str">
        <f>_xlfn.IFNA(INDEX('MCODE Final Mapping'!$L$6:$L$67,MATCH('2024 Competitive Landscape'!$L11,'MCODE Final Mapping'!$K$6:$K$67,0)),"-")</f>
        <v>PROMO-US-2024 KEYTRUDA GI</v>
      </c>
      <c r="L11" s="417" t="s">
        <v>55</v>
      </c>
      <c r="M11" s="417" t="s">
        <v>461</v>
      </c>
      <c r="N11" s="418" t="s">
        <v>461</v>
      </c>
    </row>
    <row r="12" spans="2:16" x14ac:dyDescent="0.35">
      <c r="B12" s="332" t="s">
        <v>625</v>
      </c>
      <c r="C12" s="333" t="s">
        <v>608</v>
      </c>
      <c r="D12" s="342" t="s">
        <v>459</v>
      </c>
      <c r="E12" s="339" t="s">
        <v>461</v>
      </c>
      <c r="F12" s="349" t="s">
        <v>720</v>
      </c>
      <c r="J12" s="416" t="str">
        <f>INDEX('Raw Forecasting NPS Data'!$D$6:$D$166,MATCH(L12,'Raw Forecasting NPS Data'!$I$6:$I$166,0))</f>
        <v>CRC</v>
      </c>
      <c r="K12" s="417" t="str">
        <f>_xlfn.IFNA(INDEX('MCODE Final Mapping'!$L$6:$L$67,MATCH('2024 Competitive Landscape'!$L12,'MCODE Final Mapping'!$K$6:$K$67,0)),"-")</f>
        <v>PROMO-US-2024 KEYTRUDA GI</v>
      </c>
      <c r="L12" s="417" t="s">
        <v>59</v>
      </c>
      <c r="M12" s="417" t="s">
        <v>461</v>
      </c>
      <c r="N12" s="418" t="s">
        <v>461</v>
      </c>
    </row>
    <row r="13" spans="2:16" x14ac:dyDescent="0.35">
      <c r="B13" s="332" t="s">
        <v>598</v>
      </c>
      <c r="C13" s="333" t="s">
        <v>608</v>
      </c>
      <c r="D13" s="342" t="s">
        <v>459</v>
      </c>
      <c r="E13" s="348" t="s">
        <v>459</v>
      </c>
      <c r="F13" s="349" t="s">
        <v>721</v>
      </c>
      <c r="J13" s="416" t="str">
        <f>INDEX('Raw Forecasting NPS Data'!$D$6:$D$166,MATCH(L13,'Raw Forecasting NPS Data'!$I$6:$I$166,0))</f>
        <v>cSCC</v>
      </c>
      <c r="K13" s="417" t="str">
        <f>_xlfn.IFNA(INDEX('MCODE Final Mapping'!$L$6:$L$67,MATCH('2024 Competitive Landscape'!$L13,'MCODE Final Mapping'!$K$6:$K$67,0)),"-")</f>
        <v>PROMO-US-2024 KEYTRUDA H&amp;N</v>
      </c>
      <c r="L13" s="417" t="s">
        <v>64</v>
      </c>
      <c r="M13" s="417" t="s">
        <v>460</v>
      </c>
      <c r="N13" s="418" t="s">
        <v>460</v>
      </c>
      <c r="O13" s="829" t="s">
        <v>767</v>
      </c>
    </row>
    <row r="14" spans="2:16" ht="15" thickBot="1" x14ac:dyDescent="0.4">
      <c r="B14" s="350" t="s">
        <v>603</v>
      </c>
      <c r="C14" s="351" t="s">
        <v>608</v>
      </c>
      <c r="D14" s="352" t="s">
        <v>461</v>
      </c>
      <c r="E14" s="353" t="s">
        <v>464</v>
      </c>
      <c r="F14" s="354" t="s">
        <v>722</v>
      </c>
      <c r="J14" s="715" t="str">
        <f>INDEX('Raw Forecasting NPS Data'!$D$6:$D$166,MATCH(L14,'Raw Forecasting NPS Data'!$I$6:$I$166,0))</f>
        <v>DLBCL</v>
      </c>
      <c r="K14" s="716" t="str">
        <f>_xlfn.IFNA(INDEX('MCODE Final Mapping'!$L$6:$L$67,MATCH('2024 Competitive Landscape'!$L14,'MCODE Final Mapping'!$K$6:$K$67,0)),"-")</f>
        <v>-</v>
      </c>
      <c r="L14" s="716" t="s">
        <v>70</v>
      </c>
      <c r="M14" s="716"/>
      <c r="N14" s="717" t="s">
        <v>1158</v>
      </c>
      <c r="O14" s="830" t="s">
        <v>1158</v>
      </c>
    </row>
    <row r="15" spans="2:16" ht="15" thickBot="1" x14ac:dyDescent="0.4">
      <c r="J15" s="416" t="str">
        <f>INDEX('Raw Forecasting NPS Data'!$D$6:$D$166,MATCH(L15,'Raw Forecasting NPS Data'!$I$6:$I$166,0))</f>
        <v>Endometrial</v>
      </c>
      <c r="K15" s="417" t="str">
        <f>_xlfn.IFNA(INDEX('MCODE Final Mapping'!$L$6:$L$67,MATCH('2024 Competitive Landscape'!$L15,'MCODE Final Mapping'!$K$6:$K$67,0)),"-")</f>
        <v>PROMO-US-2024 KEYTRUDA ENDOMETRIAL</v>
      </c>
      <c r="L15" s="417" t="s">
        <v>77</v>
      </c>
      <c r="M15" s="417" t="s">
        <v>459</v>
      </c>
      <c r="N15" s="418" t="s">
        <v>459</v>
      </c>
    </row>
    <row r="16" spans="2:16" ht="15" thickBot="1" x14ac:dyDescent="0.4">
      <c r="B16" s="1025" t="s">
        <v>723</v>
      </c>
      <c r="C16" s="1026"/>
      <c r="D16" s="1026"/>
      <c r="E16" s="1026"/>
      <c r="F16" s="1027"/>
      <c r="J16" s="416" t="str">
        <f>INDEX('Raw Forecasting NPS Data'!$D$6:$D$166,MATCH(L16,'Raw Forecasting NPS Data'!$I$6:$I$166,0))</f>
        <v>Endometrial</v>
      </c>
      <c r="K16" s="417" t="str">
        <f>_xlfn.IFNA(INDEX('MCODE Final Mapping'!$L$6:$L$67,MATCH('2024 Competitive Landscape'!$L16,'MCODE Final Mapping'!$K$6:$K$67,0)),"-")</f>
        <v>PROMO-US-2024 KEYTRUDA ENDOMETRIAL</v>
      </c>
      <c r="L16" s="417" t="s">
        <v>347</v>
      </c>
      <c r="M16" s="417" t="s">
        <v>459</v>
      </c>
      <c r="N16" s="418" t="s">
        <v>459</v>
      </c>
    </row>
    <row r="17" spans="2:15" x14ac:dyDescent="0.35">
      <c r="B17" s="355" t="s">
        <v>698</v>
      </c>
      <c r="C17" s="322" t="s">
        <v>699</v>
      </c>
      <c r="D17" s="323" t="s">
        <v>700</v>
      </c>
      <c r="E17" s="356" t="s">
        <v>701</v>
      </c>
      <c r="F17" s="357" t="s">
        <v>702</v>
      </c>
      <c r="J17" s="416" t="str">
        <f>INDEX('Raw Forecasting NPS Data'!$D$6:$D$166,MATCH(L17,'Raw Forecasting NPS Data'!$I$6:$I$166,0))</f>
        <v>Endometrial</v>
      </c>
      <c r="K17" s="417" t="str">
        <f>_xlfn.IFNA(INDEX('MCODE Final Mapping'!$L$6:$L$67,MATCH('2024 Competitive Landscape'!$L17,'MCODE Final Mapping'!$K$6:$K$67,0)),"-")</f>
        <v>PROMO-US-2024 LENVIMA ENDOMETRIAL</v>
      </c>
      <c r="L17" s="417" t="s">
        <v>86</v>
      </c>
      <c r="M17" s="417" t="s">
        <v>459</v>
      </c>
      <c r="N17" s="418" t="s">
        <v>459</v>
      </c>
    </row>
    <row r="18" spans="2:15" ht="29" x14ac:dyDescent="0.35">
      <c r="B18" s="358" t="s">
        <v>724</v>
      </c>
      <c r="C18" s="359" t="s">
        <v>459</v>
      </c>
      <c r="D18" s="360" t="s">
        <v>725</v>
      </c>
      <c r="E18" s="361" t="s">
        <v>459</v>
      </c>
      <c r="F18" s="362" t="s">
        <v>726</v>
      </c>
      <c r="J18" s="416" t="str">
        <f>INDEX('Raw Forecasting NPS Data'!$D$6:$D$166,MATCH(L18,'Raw Forecasting NPS Data'!$I$6:$I$166,0))</f>
        <v>Endometrial</v>
      </c>
      <c r="K18" s="417" t="str">
        <f>_xlfn.IFNA(INDEX('MCODE Final Mapping'!$L$6:$L$67,MATCH('2024 Competitive Landscape'!$L18,'MCODE Final Mapping'!$K$6:$K$67,0)),"-")</f>
        <v>PROMO-US-2024 KEYTRUDA ENDOMETRIAL</v>
      </c>
      <c r="L18" s="417" t="s">
        <v>93</v>
      </c>
      <c r="M18" s="417" t="s">
        <v>459</v>
      </c>
      <c r="N18" s="418" t="s">
        <v>459</v>
      </c>
    </row>
    <row r="19" spans="2:15" ht="16.5" x14ac:dyDescent="0.35">
      <c r="B19" s="358" t="s">
        <v>727</v>
      </c>
      <c r="C19" s="359" t="s">
        <v>461</v>
      </c>
      <c r="D19" s="363" t="s">
        <v>725</v>
      </c>
      <c r="E19" s="364" t="s">
        <v>459</v>
      </c>
      <c r="F19" s="365" t="s">
        <v>728</v>
      </c>
      <c r="J19" s="416" t="str">
        <f>INDEX('Raw Forecasting NPS Data'!$D$6:$D$166,MATCH(L19,'Raw Forecasting NPS Data'!$I$6:$I$166,0))</f>
        <v>Endometrial</v>
      </c>
      <c r="K19" s="417" t="str">
        <f>_xlfn.IFNA(INDEX('MCODE Final Mapping'!$L$6:$L$67,MATCH('2024 Competitive Landscape'!$L19,'MCODE Final Mapping'!$K$6:$K$67,0)),"-")</f>
        <v>PROMO-US-2024 KEYTRUDA ENDOMETRIAL</v>
      </c>
      <c r="L19" s="417" t="s">
        <v>96</v>
      </c>
      <c r="M19" s="417" t="s">
        <v>459</v>
      </c>
      <c r="N19" s="418" t="s">
        <v>459</v>
      </c>
    </row>
    <row r="20" spans="2:15" ht="29" x14ac:dyDescent="0.35">
      <c r="B20" s="358" t="s">
        <v>729</v>
      </c>
      <c r="C20" s="359" t="s">
        <v>461</v>
      </c>
      <c r="D20" s="366" t="s">
        <v>459</v>
      </c>
      <c r="E20" s="367" t="s">
        <v>461</v>
      </c>
      <c r="F20" s="365" t="s">
        <v>730</v>
      </c>
      <c r="J20" s="715" t="str">
        <f>INDEX('Raw Forecasting NPS Data'!$D$6:$D$166,MATCH(L20,'Raw Forecasting NPS Data'!$I$6:$I$166,0))</f>
        <v>Esophageal</v>
      </c>
      <c r="K20" s="716" t="str">
        <f>_xlfn.IFNA(INDEX('MCODE Final Mapping'!$L$6:$L$67,MATCH('2024 Competitive Landscape'!$L20,'MCODE Final Mapping'!$K$6:$K$67,0)),"-")</f>
        <v>-</v>
      </c>
      <c r="L20" s="716" t="s">
        <v>102</v>
      </c>
      <c r="M20" s="716" t="s">
        <v>459</v>
      </c>
      <c r="N20" s="717" t="s">
        <v>459</v>
      </c>
      <c r="O20" s="831" t="s">
        <v>1173</v>
      </c>
    </row>
    <row r="21" spans="2:15" ht="29" x14ac:dyDescent="0.35">
      <c r="B21" s="358" t="s">
        <v>731</v>
      </c>
      <c r="C21" s="359" t="s">
        <v>608</v>
      </c>
      <c r="D21" s="368" t="s">
        <v>732</v>
      </c>
      <c r="E21" s="367" t="s">
        <v>461</v>
      </c>
      <c r="F21" s="365" t="s">
        <v>733</v>
      </c>
      <c r="J21" s="715" t="str">
        <f>INDEX('Raw Forecasting NPS Data'!$D$6:$D$166,MATCH(L21,'Raw Forecasting NPS Data'!$I$6:$I$166,0))</f>
        <v>Esophageal</v>
      </c>
      <c r="K21" s="716" t="str">
        <f>_xlfn.IFNA(INDEX('MCODE Final Mapping'!$L$6:$L$67,MATCH('2024 Competitive Landscape'!$L21,'MCODE Final Mapping'!$K$6:$K$67,0)),"-")</f>
        <v>-</v>
      </c>
      <c r="L21" s="716" t="s">
        <v>106</v>
      </c>
      <c r="M21" s="716" t="s">
        <v>459</v>
      </c>
      <c r="N21" s="827" t="s">
        <v>1168</v>
      </c>
      <c r="O21" s="830" t="s">
        <v>1158</v>
      </c>
    </row>
    <row r="22" spans="2:15" ht="29" x14ac:dyDescent="0.35">
      <c r="B22" s="358" t="s">
        <v>734</v>
      </c>
      <c r="C22" s="359" t="s">
        <v>460</v>
      </c>
      <c r="D22" s="369" t="s">
        <v>725</v>
      </c>
      <c r="E22" s="370" t="s">
        <v>464</v>
      </c>
      <c r="F22" s="371" t="s">
        <v>735</v>
      </c>
      <c r="J22" s="416" t="str">
        <f>INDEX('Raw Forecasting NPS Data'!$D$6:$D$166,MATCH(L22,'Raw Forecasting NPS Data'!$I$6:$I$166,0))</f>
        <v>Esophageal</v>
      </c>
      <c r="K22" s="417" t="str">
        <f>_xlfn.IFNA(INDEX('MCODE Final Mapping'!$L$6:$L$67,MATCH('2024 Competitive Landscape'!$L22,'MCODE Final Mapping'!$K$6:$K$67,0)),"-")</f>
        <v>PROMO-US-2024 KEYTRUDA GI</v>
      </c>
      <c r="L22" s="417" t="s">
        <v>108</v>
      </c>
      <c r="M22" s="417" t="s">
        <v>459</v>
      </c>
      <c r="N22" s="418" t="s">
        <v>459</v>
      </c>
    </row>
    <row r="23" spans="2:15" x14ac:dyDescent="0.35">
      <c r="B23" s="358" t="s">
        <v>611</v>
      </c>
      <c r="C23" s="359" t="s">
        <v>608</v>
      </c>
      <c r="D23" s="372" t="s">
        <v>736</v>
      </c>
      <c r="E23" s="329" t="s">
        <v>459</v>
      </c>
      <c r="F23" s="373" t="s">
        <v>737</v>
      </c>
      <c r="J23" s="416" t="str">
        <f>INDEX('Raw Forecasting NPS Data'!$D$6:$D$166,MATCH(L23,'Raw Forecasting NPS Data'!$I$6:$I$166,0))</f>
        <v>Esophageal</v>
      </c>
      <c r="K23" s="417" t="str">
        <f>_xlfn.IFNA(INDEX('MCODE Final Mapping'!$L$6:$L$67,MATCH('2024 Competitive Landscape'!$L23,'MCODE Final Mapping'!$K$6:$K$67,0)),"-")</f>
        <v>PROMO-US-2024 KEYTRUDA GI</v>
      </c>
      <c r="L23" s="417" t="s">
        <v>110</v>
      </c>
      <c r="M23" s="417" t="s">
        <v>459</v>
      </c>
      <c r="N23" s="418" t="s">
        <v>459</v>
      </c>
    </row>
    <row r="24" spans="2:15" ht="15" thickBot="1" x14ac:dyDescent="0.4">
      <c r="B24" s="374" t="s">
        <v>738</v>
      </c>
      <c r="C24" s="375" t="s">
        <v>739</v>
      </c>
      <c r="D24" s="376" t="s">
        <v>460</v>
      </c>
      <c r="E24" s="377" t="s">
        <v>459</v>
      </c>
      <c r="F24" s="378" t="s">
        <v>740</v>
      </c>
      <c r="J24" s="416" t="str">
        <f>INDEX('Raw Forecasting NPS Data'!$D$6:$D$166,MATCH(L24,'Raw Forecasting NPS Data'!$I$6:$I$166,0))</f>
        <v>Gastric</v>
      </c>
      <c r="K24" s="417" t="str">
        <f>_xlfn.IFNA(INDEX('MCODE Final Mapping'!$L$6:$L$67,MATCH('2024 Competitive Landscape'!$L24,'MCODE Final Mapping'!$K$6:$K$67,0)),"-")</f>
        <v>PROMO-US-2024 LENVIMA GASTRIC</v>
      </c>
      <c r="L24" s="417" t="s">
        <v>118</v>
      </c>
      <c r="M24" s="417" t="s">
        <v>459</v>
      </c>
      <c r="N24" s="418" t="s">
        <v>459</v>
      </c>
    </row>
    <row r="25" spans="2:15" ht="15" thickBot="1" x14ac:dyDescent="0.4">
      <c r="J25" s="416" t="str">
        <f>INDEX('Raw Forecasting NPS Data'!$D$6:$D$166,MATCH(L25,'Raw Forecasting NPS Data'!$I$6:$I$166,0))</f>
        <v>Gastric</v>
      </c>
      <c r="K25" s="417" t="str">
        <f>_xlfn.IFNA(INDEX('MCODE Final Mapping'!$L$6:$L$67,MATCH('2024 Competitive Landscape'!$L25,'MCODE Final Mapping'!$K$6:$K$67,0)),"-")</f>
        <v>PROMO-US-2024 KEYTRUDA GI</v>
      </c>
      <c r="L25" s="417" t="s">
        <v>122</v>
      </c>
      <c r="M25" s="417" t="s">
        <v>459</v>
      </c>
      <c r="N25" s="418" t="s">
        <v>459</v>
      </c>
    </row>
    <row r="26" spans="2:15" ht="15" thickBot="1" x14ac:dyDescent="0.4">
      <c r="B26" s="1022" t="s">
        <v>741</v>
      </c>
      <c r="C26" s="1023"/>
      <c r="D26" s="1023"/>
      <c r="E26" s="1023"/>
      <c r="F26" s="1024"/>
      <c r="J26" s="416" t="str">
        <f>INDEX('Raw Forecasting NPS Data'!$D$6:$D$166,MATCH(L26,'Raw Forecasting NPS Data'!$I$6:$I$166,0))</f>
        <v>Gastric</v>
      </c>
      <c r="K26" s="417" t="str">
        <f>_xlfn.IFNA(INDEX('MCODE Final Mapping'!$L$6:$L$67,MATCH('2024 Competitive Landscape'!$L26,'MCODE Final Mapping'!$K$6:$K$67,0)),"-")</f>
        <v>PROMO-US-2024 KEYTRUDA GI</v>
      </c>
      <c r="L26" s="417" t="s">
        <v>124</v>
      </c>
      <c r="M26" s="417" t="s">
        <v>459</v>
      </c>
      <c r="N26" s="418" t="s">
        <v>459</v>
      </c>
    </row>
    <row r="27" spans="2:15" x14ac:dyDescent="0.35">
      <c r="B27" s="321" t="s">
        <v>698</v>
      </c>
      <c r="C27" s="322" t="s">
        <v>699</v>
      </c>
      <c r="D27" s="323" t="s">
        <v>700</v>
      </c>
      <c r="E27" s="356" t="s">
        <v>701</v>
      </c>
      <c r="F27" s="325" t="s">
        <v>702</v>
      </c>
      <c r="J27" s="416" t="str">
        <f>INDEX('Raw Forecasting NPS Data'!$D$6:$D$166,MATCH(L27,'Raw Forecasting NPS Data'!$I$6:$I$166,0))</f>
        <v>Gastric</v>
      </c>
      <c r="K27" s="417" t="str">
        <f>_xlfn.IFNA(INDEX('MCODE Final Mapping'!$L$6:$L$67,MATCH('2024 Competitive Landscape'!$L27,'MCODE Final Mapping'!$K$6:$K$67,0)),"-")</f>
        <v>PROMO-US-2024 KEYTRUDA GI</v>
      </c>
      <c r="L27" s="417" t="s">
        <v>126</v>
      </c>
      <c r="M27" s="417" t="s">
        <v>459</v>
      </c>
      <c r="N27" s="418" t="s">
        <v>459</v>
      </c>
    </row>
    <row r="28" spans="2:15" ht="44" thickBot="1" x14ac:dyDescent="0.4">
      <c r="B28" s="379" t="s">
        <v>742</v>
      </c>
      <c r="C28" s="359" t="s">
        <v>459</v>
      </c>
      <c r="D28" s="380" t="s">
        <v>459</v>
      </c>
      <c r="E28" s="381" t="s">
        <v>461</v>
      </c>
      <c r="F28" s="382" t="s">
        <v>743</v>
      </c>
      <c r="J28" s="715" t="str">
        <f>INDEX('Raw Forecasting NPS Data'!$D$6:$D$166,MATCH(L28,'Raw Forecasting NPS Data'!$I$6:$I$166,0))</f>
        <v>HCC</v>
      </c>
      <c r="K28" s="716" t="str">
        <f>_xlfn.IFNA(INDEX('MCODE Final Mapping'!$L$6:$L$67,MATCH('2024 Competitive Landscape'!$L28,'MCODE Final Mapping'!$K$6:$K$67,0)),"-")</f>
        <v>-</v>
      </c>
      <c r="L28" s="716" t="s">
        <v>130</v>
      </c>
      <c r="M28" s="716" t="s">
        <v>459</v>
      </c>
      <c r="N28" s="827" t="s">
        <v>1168</v>
      </c>
      <c r="O28" s="830" t="s">
        <v>1158</v>
      </c>
    </row>
    <row r="29" spans="2:15" ht="44" thickBot="1" x14ac:dyDescent="0.4">
      <c r="B29" s="383" t="s">
        <v>744</v>
      </c>
      <c r="C29" s="359" t="s">
        <v>461</v>
      </c>
      <c r="D29" s="384" t="s">
        <v>459</v>
      </c>
      <c r="E29" s="385" t="s">
        <v>461</v>
      </c>
      <c r="F29" s="386" t="s">
        <v>745</v>
      </c>
      <c r="J29" s="416" t="str">
        <f>INDEX('Raw Forecasting NPS Data'!$D$6:$D$166,MATCH(L29,'Raw Forecasting NPS Data'!$I$6:$I$166,0))</f>
        <v>HCC</v>
      </c>
      <c r="K29" s="417" t="str">
        <f>_xlfn.IFNA(INDEX('MCODE Final Mapping'!$L$6:$L$67,MATCH('2024 Competitive Landscape'!$L29,'MCODE Final Mapping'!$K$6:$K$67,0)),"-")</f>
        <v>PROMO-US-2024 KEYTRUDA GI</v>
      </c>
      <c r="L29" s="417" t="s">
        <v>133</v>
      </c>
      <c r="M29" s="417" t="s">
        <v>459</v>
      </c>
      <c r="N29" s="418" t="s">
        <v>459</v>
      </c>
    </row>
    <row r="30" spans="2:15" ht="29.5" thickBot="1" x14ac:dyDescent="0.4">
      <c r="B30" s="379" t="s">
        <v>746</v>
      </c>
      <c r="C30" s="359" t="s">
        <v>461</v>
      </c>
      <c r="D30" s="384" t="s">
        <v>459</v>
      </c>
      <c r="E30" s="385" t="s">
        <v>461</v>
      </c>
      <c r="F30" s="386" t="s">
        <v>747</v>
      </c>
      <c r="J30" s="416" t="str">
        <f>INDEX('Raw Forecasting NPS Data'!$D$6:$D$166,MATCH(L30,'Raw Forecasting NPS Data'!$I$6:$I$166,0))</f>
        <v>HCC</v>
      </c>
      <c r="K30" s="417" t="str">
        <f>_xlfn.IFNA(INDEX('MCODE Final Mapping'!$L$6:$L$67,MATCH('2024 Competitive Landscape'!$L30,'MCODE Final Mapping'!$K$6:$K$67,0)),"-")</f>
        <v>PROMO-US-2024 KEYTRUDA GI</v>
      </c>
      <c r="L30" s="417" t="s">
        <v>136</v>
      </c>
      <c r="M30" s="417" t="s">
        <v>459</v>
      </c>
      <c r="N30" s="418" t="s">
        <v>459</v>
      </c>
    </row>
    <row r="31" spans="2:15" ht="17" thickBot="1" x14ac:dyDescent="0.4">
      <c r="B31" s="379" t="s">
        <v>748</v>
      </c>
      <c r="C31" s="359" t="s">
        <v>460</v>
      </c>
      <c r="D31" s="384" t="s">
        <v>461</v>
      </c>
      <c r="E31" s="385" t="s">
        <v>461</v>
      </c>
      <c r="F31" s="387" t="s">
        <v>749</v>
      </c>
      <c r="J31" s="715" t="str">
        <f>INDEX('Raw Forecasting NPS Data'!$D$6:$D$166,MATCH(L31,'Raw Forecasting NPS Data'!$I$6:$I$166,0))</f>
        <v>HCC</v>
      </c>
      <c r="K31" s="716" t="str">
        <f>_xlfn.IFNA(INDEX('MCODE Final Mapping'!$L$6:$L$67,MATCH('2024 Competitive Landscape'!$L31,'MCODE Final Mapping'!$K$6:$K$67,0)),"-")</f>
        <v>-</v>
      </c>
      <c r="L31" s="716" t="s">
        <v>140</v>
      </c>
      <c r="M31" s="716" t="s">
        <v>459</v>
      </c>
      <c r="N31" s="827" t="s">
        <v>1169</v>
      </c>
      <c r="O31" s="830" t="s">
        <v>1170</v>
      </c>
    </row>
    <row r="32" spans="2:15" ht="17" thickBot="1" x14ac:dyDescent="0.4">
      <c r="B32" s="379" t="s">
        <v>750</v>
      </c>
      <c r="C32" s="359" t="s">
        <v>460</v>
      </c>
      <c r="D32" s="388" t="s">
        <v>460</v>
      </c>
      <c r="E32" s="389" t="s">
        <v>464</v>
      </c>
      <c r="F32" s="390" t="s">
        <v>751</v>
      </c>
      <c r="J32" s="416" t="str">
        <f>INDEX('Raw Forecasting NPS Data'!$D$6:$D$166,MATCH(L32,'Raw Forecasting NPS Data'!$I$6:$I$166,0))</f>
        <v>Head &amp; Neck</v>
      </c>
      <c r="K32" s="417" t="str">
        <f>_xlfn.IFNA(INDEX('MCODE Final Mapping'!$L$6:$L$67,MATCH('2024 Competitive Landscape'!$L32,'MCODE Final Mapping'!$K$6:$K$67,0)),"-")</f>
        <v>PROMO-US-2024 LENVIMA H&amp;N</v>
      </c>
      <c r="L32" s="417" t="s">
        <v>143</v>
      </c>
      <c r="M32" s="417" t="s">
        <v>461</v>
      </c>
      <c r="N32" s="418" t="s">
        <v>461</v>
      </c>
    </row>
    <row r="33" spans="2:15" ht="43.5" x14ac:dyDescent="0.35">
      <c r="B33" s="379" t="s">
        <v>752</v>
      </c>
      <c r="C33" s="359" t="s">
        <v>461</v>
      </c>
      <c r="D33" s="391" t="s">
        <v>459</v>
      </c>
      <c r="E33" s="392" t="s">
        <v>464</v>
      </c>
      <c r="F33" s="393" t="s">
        <v>753</v>
      </c>
      <c r="J33" s="416" t="str">
        <f>INDEX('Raw Forecasting NPS Data'!$D$6:$D$166,MATCH(L33,'Raw Forecasting NPS Data'!$I$6:$I$166,0))</f>
        <v>Head &amp; Neck</v>
      </c>
      <c r="K33" s="417" t="str">
        <f>_xlfn.IFNA(INDEX('MCODE Final Mapping'!$L$6:$L$67,MATCH('2024 Competitive Landscape'!$L33,'MCODE Final Mapping'!$K$6:$K$67,0)),"-")</f>
        <v>PROMO-US-2024 LENVIMA H&amp;N</v>
      </c>
      <c r="L33" s="417" t="s">
        <v>146</v>
      </c>
      <c r="M33" s="417" t="s">
        <v>461</v>
      </c>
      <c r="N33" s="418" t="s">
        <v>461</v>
      </c>
    </row>
    <row r="34" spans="2:15" ht="58" x14ac:dyDescent="0.35">
      <c r="B34" s="379" t="s">
        <v>754</v>
      </c>
      <c r="C34" s="359" t="s">
        <v>461</v>
      </c>
      <c r="D34" s="391" t="s">
        <v>459</v>
      </c>
      <c r="E34" s="394" t="s">
        <v>461</v>
      </c>
      <c r="F34" s="393" t="s">
        <v>755</v>
      </c>
      <c r="J34" s="416" t="str">
        <f>INDEX('Raw Forecasting NPS Data'!$D$6:$D$166,MATCH(L34,'Raw Forecasting NPS Data'!$I$6:$I$166,0))</f>
        <v>Head &amp; Neck</v>
      </c>
      <c r="K34" s="417" t="str">
        <f>_xlfn.IFNA(INDEX('MCODE Final Mapping'!$L$6:$L$67,MATCH('2024 Competitive Landscape'!$L34,'MCODE Final Mapping'!$K$6:$K$67,0)),"-")</f>
        <v>PROMO-US-2024 KEYTRUDA H&amp;N</v>
      </c>
      <c r="L34" s="417" t="s">
        <v>149</v>
      </c>
      <c r="M34" s="417" t="s">
        <v>460</v>
      </c>
      <c r="N34" s="418" t="s">
        <v>460</v>
      </c>
    </row>
    <row r="35" spans="2:15" ht="17" thickBot="1" x14ac:dyDescent="0.4">
      <c r="B35" s="395" t="s">
        <v>756</v>
      </c>
      <c r="C35" s="396" t="s">
        <v>459</v>
      </c>
      <c r="D35" s="397" t="s">
        <v>459</v>
      </c>
      <c r="E35" s="398" t="s">
        <v>461</v>
      </c>
      <c r="F35" s="399"/>
      <c r="J35" s="416" t="str">
        <f>INDEX('Raw Forecasting NPS Data'!$D$6:$D$166,MATCH(L35,'Raw Forecasting NPS Data'!$I$6:$I$166,0))</f>
        <v>Head &amp; Neck</v>
      </c>
      <c r="K35" s="417" t="str">
        <f>_xlfn.IFNA(INDEX('MCODE Final Mapping'!$L$6:$L$67,MATCH('2024 Competitive Landscape'!$L35,'MCODE Final Mapping'!$K$6:$K$67,0)),"-")</f>
        <v>PROMO-US-2024 KEYTRUDA H&amp;N</v>
      </c>
      <c r="L35" s="417" t="s">
        <v>153</v>
      </c>
      <c r="M35" s="417" t="s">
        <v>460</v>
      </c>
      <c r="N35" s="418" t="s">
        <v>460</v>
      </c>
    </row>
    <row r="36" spans="2:15" ht="22" customHeight="1" thickBot="1" x14ac:dyDescent="0.4">
      <c r="J36" s="416" t="str">
        <f>INDEX('Raw Forecasting NPS Data'!$D$6:$D$166,MATCH(L36,'Raw Forecasting NPS Data'!$I$6:$I$166,0))</f>
        <v>Head &amp; Neck</v>
      </c>
      <c r="K36" s="417" t="str">
        <f>_xlfn.IFNA(INDEX('MCODE Final Mapping'!$L$6:$L$67,MATCH('2024 Competitive Landscape'!$L36,'MCODE Final Mapping'!$K$6:$K$67,0)),"-")</f>
        <v>PROMO-US-2024 KEYTRUDA H&amp;N</v>
      </c>
      <c r="L36" s="417" t="s">
        <v>156</v>
      </c>
      <c r="M36" s="417" t="s">
        <v>460</v>
      </c>
      <c r="N36" s="418" t="s">
        <v>460</v>
      </c>
    </row>
    <row r="37" spans="2:15" ht="24" customHeight="1" thickBot="1" x14ac:dyDescent="0.4">
      <c r="B37" s="1025" t="s">
        <v>757</v>
      </c>
      <c r="C37" s="1026"/>
      <c r="D37" s="1026"/>
      <c r="E37" s="1026"/>
      <c r="F37" s="1027"/>
      <c r="J37" s="823" t="str">
        <f>INDEX('Raw Forecasting NPS Data'!$D$6:$D$166,MATCH(L37,'Raw Forecasting NPS Data'!$I$6:$I$166,0))</f>
        <v>Hodgkins Lymphoma</v>
      </c>
      <c r="K37" s="824" t="str">
        <f>_xlfn.IFNA(INDEX('MCODE Final Mapping'!$L$6:$L$67,MATCH('2024 Competitive Landscape'!$L37,'MCODE Final Mapping'!$K$6:$K$67,0)),"-")</f>
        <v>PROMO-US-2024 KEYTRUDA HEME / cHL</v>
      </c>
      <c r="L37" s="824" t="s">
        <v>163</v>
      </c>
      <c r="M37" s="824"/>
      <c r="N37" s="828" t="s">
        <v>461</v>
      </c>
      <c r="O37" s="829" t="s">
        <v>769</v>
      </c>
    </row>
    <row r="38" spans="2:15" x14ac:dyDescent="0.35">
      <c r="B38" s="355" t="s">
        <v>698</v>
      </c>
      <c r="C38" s="322" t="s">
        <v>699</v>
      </c>
      <c r="D38" s="323" t="s">
        <v>700</v>
      </c>
      <c r="E38" s="356" t="s">
        <v>701</v>
      </c>
      <c r="F38" s="400" t="s">
        <v>702</v>
      </c>
      <c r="J38" s="416" t="str">
        <f>INDEX('Raw Forecasting NPS Data'!$D$6:$D$166,MATCH(L38,'Raw Forecasting NPS Data'!$I$6:$I$166,0))</f>
        <v>HR+ HER2- Breast Cancer</v>
      </c>
      <c r="K38" s="417" t="str">
        <f>_xlfn.IFNA(INDEX('MCODE Final Mapping'!$L$6:$L$67,MATCH('2024 Competitive Landscape'!$L38,'MCODE Final Mapping'!$K$6:$K$67,0)),"-")</f>
        <v>PROMO-US-2024 KEYTRUDA BREAST CANC</v>
      </c>
      <c r="L38" s="417" t="s">
        <v>168</v>
      </c>
      <c r="M38" s="417" t="s">
        <v>459</v>
      </c>
      <c r="N38" s="418" t="s">
        <v>459</v>
      </c>
    </row>
    <row r="39" spans="2:15" ht="43.5" x14ac:dyDescent="0.35">
      <c r="B39" s="358" t="s">
        <v>758</v>
      </c>
      <c r="C39" s="401" t="s">
        <v>759</v>
      </c>
      <c r="D39" s="402" t="s">
        <v>459</v>
      </c>
      <c r="E39" s="403" t="s">
        <v>459</v>
      </c>
      <c r="F39" s="404"/>
      <c r="J39" s="416" t="str">
        <f>INDEX('Raw Forecasting NPS Data'!$D$6:$D$166,MATCH(L39,'Raw Forecasting NPS Data'!$I$6:$I$166,0))</f>
        <v>Melanoma Stage III</v>
      </c>
      <c r="K39" s="417" t="str">
        <f>_xlfn.IFNA(INDEX('MCODE Final Mapping'!$L$6:$L$67,MATCH('2024 Competitive Landscape'!$L39,'MCODE Final Mapping'!$K$6:$K$67,0)),"-")</f>
        <v>PROMO-US-2024 KEYTRUDA SKIN CANCER</v>
      </c>
      <c r="L39" s="417" t="s">
        <v>173</v>
      </c>
      <c r="M39" s="417" t="s">
        <v>459</v>
      </c>
      <c r="N39" s="418" t="s">
        <v>459</v>
      </c>
      <c r="O39" s="1021" t="s">
        <v>927</v>
      </c>
    </row>
    <row r="40" spans="2:15" ht="43.5" x14ac:dyDescent="0.35">
      <c r="B40" s="358" t="s">
        <v>760</v>
      </c>
      <c r="C40" s="359" t="s">
        <v>608</v>
      </c>
      <c r="D40" s="405" t="s">
        <v>459</v>
      </c>
      <c r="E40" s="403" t="s">
        <v>459</v>
      </c>
      <c r="F40" s="406" t="s">
        <v>761</v>
      </c>
      <c r="J40" s="416" t="str">
        <f>INDEX('Raw Forecasting NPS Data'!$D$6:$D$166,MATCH(L40,'Raw Forecasting NPS Data'!$I$6:$I$166,0))</f>
        <v>Melanoma Stage II</v>
      </c>
      <c r="K40" s="417" t="str">
        <f>_xlfn.IFNA(INDEX('MCODE Final Mapping'!$L$6:$L$67,MATCH('2024 Competitive Landscape'!$L40,'MCODE Final Mapping'!$K$6:$K$67,0)),"-")</f>
        <v>PROMO-US-2024 KEYTRUDA SKIN CANCER</v>
      </c>
      <c r="L40" s="417" t="s">
        <v>177</v>
      </c>
      <c r="M40" s="417" t="s">
        <v>459</v>
      </c>
      <c r="N40" s="418" t="s">
        <v>459</v>
      </c>
      <c r="O40" s="1021"/>
    </row>
    <row r="41" spans="2:15" ht="43.5" x14ac:dyDescent="0.35">
      <c r="B41" s="407" t="s">
        <v>762</v>
      </c>
      <c r="C41" s="401" t="s">
        <v>759</v>
      </c>
      <c r="D41" s="408" t="s">
        <v>459</v>
      </c>
      <c r="E41" s="409" t="s">
        <v>459</v>
      </c>
      <c r="F41" s="410"/>
      <c r="J41" s="416" t="str">
        <f>INDEX('Raw Forecasting NPS Data'!$D$6:$D$166,MATCH(L41,'Raw Forecasting NPS Data'!$I$6:$I$166,0))</f>
        <v>Melanoma</v>
      </c>
      <c r="K41" s="417" t="str">
        <f>_xlfn.IFNA(INDEX('MCODE Final Mapping'!$L$6:$L$67,MATCH('2024 Competitive Landscape'!$L41,'MCODE Final Mapping'!$K$6:$K$67,0)),"-")</f>
        <v>PROMO-US-2024 KEYTRUDA SKIN CANCER</v>
      </c>
      <c r="L41" s="417" t="s">
        <v>181</v>
      </c>
      <c r="M41" s="417" t="s">
        <v>459</v>
      </c>
      <c r="N41" s="418" t="s">
        <v>459</v>
      </c>
      <c r="O41" s="1021"/>
    </row>
    <row r="42" spans="2:15" ht="20" customHeight="1" x14ac:dyDescent="0.35">
      <c r="B42" s="358" t="s">
        <v>763</v>
      </c>
      <c r="C42" s="359" t="s">
        <v>608</v>
      </c>
      <c r="D42" s="405" t="s">
        <v>460</v>
      </c>
      <c r="E42" s="392" t="s">
        <v>464</v>
      </c>
      <c r="F42" s="404"/>
      <c r="J42" s="416" t="str">
        <f>INDEX('Raw Forecasting NPS Data'!$D$6:$D$166,MATCH(L42,'Raw Forecasting NPS Data'!$I$6:$I$166,0))</f>
        <v>Melanoma</v>
      </c>
      <c r="K42" s="417" t="str">
        <f>_xlfn.IFNA(INDEX('MCODE Final Mapping'!$L$6:$L$67,MATCH('2024 Competitive Landscape'!$L42,'MCODE Final Mapping'!$K$6:$K$67,0)),"-")</f>
        <v>PROMO-US-2024 KEYTRUDA SKIN CANCER</v>
      </c>
      <c r="L42" s="417" t="s">
        <v>184</v>
      </c>
      <c r="M42" s="417" t="s">
        <v>459</v>
      </c>
      <c r="N42" s="418" t="s">
        <v>459</v>
      </c>
      <c r="O42" s="1021"/>
    </row>
    <row r="43" spans="2:15" ht="29.5" thickBot="1" x14ac:dyDescent="0.4">
      <c r="B43" s="411" t="s">
        <v>764</v>
      </c>
      <c r="C43" s="412" t="s">
        <v>765</v>
      </c>
      <c r="D43" s="413" t="s">
        <v>460</v>
      </c>
      <c r="E43" s="414" t="s">
        <v>766</v>
      </c>
      <c r="F43" s="415"/>
      <c r="J43" s="416" t="str">
        <f>INDEX('Raw Forecasting NPS Data'!$D$6:$D$166,MATCH(L43,'Raw Forecasting NPS Data'!$I$6:$I$166,0))</f>
        <v>Merkel Cell</v>
      </c>
      <c r="K43" s="417" t="str">
        <f>_xlfn.IFNA(INDEX('MCODE Final Mapping'!$L$6:$L$67,MATCH('2024 Competitive Landscape'!$L43,'MCODE Final Mapping'!$K$6:$K$67,0)),"-")</f>
        <v>PROMO-US-2024 KEYTRUDA SKIN CANCER</v>
      </c>
      <c r="L43" s="417" t="s">
        <v>188</v>
      </c>
      <c r="M43" s="417" t="s">
        <v>459</v>
      </c>
      <c r="N43" s="418" t="s">
        <v>459</v>
      </c>
      <c r="O43" s="1021"/>
    </row>
    <row r="44" spans="2:15" x14ac:dyDescent="0.35">
      <c r="J44" s="416" t="str">
        <f>INDEX('Raw Forecasting NPS Data'!$D$6:$D$166,MATCH(L44,'Raw Forecasting NPS Data'!$I$6:$I$166,0))</f>
        <v>Mesothelioma</v>
      </c>
      <c r="K44" s="417" t="str">
        <f>_xlfn.IFNA(INDEX('MCODE Final Mapping'!$L$6:$L$67,MATCH('2024 Competitive Landscape'!$L44,'MCODE Final Mapping'!$K$6:$K$67,0)),"-")</f>
        <v>PROMO-US-2024 KEYTRUDA LUNG</v>
      </c>
      <c r="L44" s="417" t="s">
        <v>192</v>
      </c>
      <c r="M44" s="417" t="s">
        <v>460</v>
      </c>
      <c r="N44" s="418" t="s">
        <v>460</v>
      </c>
    </row>
    <row r="45" spans="2:15" x14ac:dyDescent="0.35">
      <c r="J45" s="416" t="str">
        <f>INDEX('Raw Forecasting NPS Data'!$D$6:$D$166,MATCH(L45,'Raw Forecasting NPS Data'!$I$6:$I$166,0))</f>
        <v>Urothelial</v>
      </c>
      <c r="K45" s="417" t="str">
        <f>_xlfn.IFNA(INDEX('MCODE Final Mapping'!$L$6:$L$67,MATCH('2024 Competitive Landscape'!$L45,'MCODE Final Mapping'!$K$6:$K$67,0)),"-")</f>
        <v>PROMO-US-2024 KEYTRUDA BLAD - mUC</v>
      </c>
      <c r="L45" s="417" t="s">
        <v>197</v>
      </c>
      <c r="M45" s="417" t="s">
        <v>461</v>
      </c>
      <c r="N45" s="418" t="s">
        <v>461</v>
      </c>
    </row>
    <row r="46" spans="2:15" x14ac:dyDescent="0.35">
      <c r="J46" s="416" t="str">
        <f>INDEX('Raw Forecasting NPS Data'!$D$6:$D$166,MATCH(L46,'Raw Forecasting NPS Data'!$I$6:$I$166,0))</f>
        <v>Urothelial</v>
      </c>
      <c r="K46" s="417" t="str">
        <f>_xlfn.IFNA(INDEX('MCODE Final Mapping'!$L$6:$L$67,MATCH('2024 Competitive Landscape'!$L46,'MCODE Final Mapping'!$K$6:$K$67,0)),"-")</f>
        <v>PROMO-US-2024 KEYTRUDA BLAD - mUC</v>
      </c>
      <c r="L46" s="417" t="s">
        <v>200</v>
      </c>
      <c r="M46" s="417" t="s">
        <v>461</v>
      </c>
      <c r="N46" s="418" t="s">
        <v>461</v>
      </c>
    </row>
    <row r="47" spans="2:15" x14ac:dyDescent="0.35">
      <c r="J47" s="715" t="str">
        <f>INDEX('Raw Forecasting NPS Data'!$D$6:$D$166,MATCH(L47,'Raw Forecasting NPS Data'!$I$6:$I$166,0))</f>
        <v>MIBC</v>
      </c>
      <c r="K47" s="716" t="str">
        <f>_xlfn.IFNA(INDEX('MCODE Final Mapping'!$L$6:$L$67,MATCH('2024 Competitive Landscape'!$L47,'MCODE Final Mapping'!$K$6:$K$67,0)),"-")</f>
        <v>-</v>
      </c>
      <c r="L47" s="716" t="s">
        <v>205</v>
      </c>
      <c r="M47" s="716" t="s">
        <v>459</v>
      </c>
      <c r="N47" s="717" t="s">
        <v>459</v>
      </c>
      <c r="O47" s="831" t="s">
        <v>1167</v>
      </c>
    </row>
    <row r="48" spans="2:15" x14ac:dyDescent="0.35">
      <c r="J48" s="416" t="str">
        <f>INDEX('Raw Forecasting NPS Data'!$D$6:$D$166,MATCH(L48,'Raw Forecasting NPS Data'!$I$6:$I$166,0))</f>
        <v>MIBC</v>
      </c>
      <c r="K48" s="417" t="str">
        <f>_xlfn.IFNA(INDEX('MCODE Final Mapping'!$L$6:$L$67,MATCH('2024 Competitive Landscape'!$L48,'MCODE Final Mapping'!$K$6:$K$67,0)),"-")</f>
        <v>PROMO-US-2024 KEYTRUDA BLAD - MIBC</v>
      </c>
      <c r="L48" s="417" t="s">
        <v>348</v>
      </c>
      <c r="M48" s="417" t="s">
        <v>459</v>
      </c>
      <c r="N48" s="418" t="s">
        <v>459</v>
      </c>
    </row>
    <row r="49" spans="10:15" x14ac:dyDescent="0.35">
      <c r="J49" s="416" t="str">
        <f>INDEX('Raw Forecasting NPS Data'!$D$6:$D$166,MATCH(L49,'Raw Forecasting NPS Data'!$I$6:$I$166,0))</f>
        <v>MIBC</v>
      </c>
      <c r="K49" s="417" t="str">
        <f>_xlfn.IFNA(INDEX('MCODE Final Mapping'!$L$6:$L$67,MATCH('2024 Competitive Landscape'!$L49,'MCODE Final Mapping'!$K$6:$K$67,0)),"-")</f>
        <v>PROMO-US-2024 KEYTRUDA BLAD - MIBC</v>
      </c>
      <c r="L49" s="417" t="s">
        <v>349</v>
      </c>
      <c r="M49" s="417" t="s">
        <v>459</v>
      </c>
      <c r="N49" s="418" t="s">
        <v>459</v>
      </c>
    </row>
    <row r="50" spans="10:15" x14ac:dyDescent="0.35">
      <c r="J50" s="416" t="str">
        <f>INDEX('Raw Forecasting NPS Data'!$D$6:$D$166,MATCH(L50,'Raw Forecasting NPS Data'!$I$6:$I$166,0))</f>
        <v>MIBC</v>
      </c>
      <c r="K50" s="417" t="str">
        <f>_xlfn.IFNA(INDEX('MCODE Final Mapping'!$L$6:$L$67,MATCH('2024 Competitive Landscape'!$L50,'MCODE Final Mapping'!$K$6:$K$67,0)),"-")</f>
        <v>PROMO-US-2024 KEYTRUDA BLAD - MIBC</v>
      </c>
      <c r="L50" s="417" t="s">
        <v>350</v>
      </c>
      <c r="M50" s="417" t="s">
        <v>459</v>
      </c>
      <c r="N50" s="418" t="s">
        <v>459</v>
      </c>
    </row>
    <row r="51" spans="10:15" x14ac:dyDescent="0.35">
      <c r="J51" s="416" t="str">
        <f>INDEX('Raw Forecasting NPS Data'!$D$6:$D$166,MATCH(L51,'Raw Forecasting NPS Data'!$I$6:$I$166,0))</f>
        <v>MSI High Non CRC Non Endo</v>
      </c>
      <c r="K51" s="417" t="str">
        <f>_xlfn.IFNA(INDEX('MCODE Final Mapping'!$L$6:$L$67,MATCH('2024 Competitive Landscape'!$L51,'MCODE Final Mapping'!$K$6:$K$67,0)),"-")</f>
        <v>PROMO-US-2024 KEYTRUDA GI</v>
      </c>
      <c r="L51" s="417" t="s">
        <v>216</v>
      </c>
      <c r="M51" s="417" t="s">
        <v>461</v>
      </c>
      <c r="N51" s="418" t="s">
        <v>461</v>
      </c>
    </row>
    <row r="52" spans="10:15" x14ac:dyDescent="0.35">
      <c r="J52" s="416" t="str">
        <f>INDEX('Raw Forecasting NPS Data'!$D$6:$D$166,MATCH(L52,'Raw Forecasting NPS Data'!$I$6:$I$166,0))</f>
        <v>NMIBC BCG Naïve</v>
      </c>
      <c r="K52" s="417" t="str">
        <f>_xlfn.IFNA(INDEX('MCODE Final Mapping'!$L$6:$L$67,MATCH('2024 Competitive Landscape'!$L52,'MCODE Final Mapping'!$K$6:$K$67,0)),"-")</f>
        <v>PROMO-US-2024 KEYTRUDA BLAD -NMIBC</v>
      </c>
      <c r="L52" s="417" t="s">
        <v>222</v>
      </c>
      <c r="M52" s="417" t="s">
        <v>459</v>
      </c>
      <c r="N52" s="418" t="s">
        <v>459</v>
      </c>
    </row>
    <row r="53" spans="10:15" x14ac:dyDescent="0.35">
      <c r="J53" s="416" t="str">
        <f>INDEX('Raw Forecasting NPS Data'!$D$6:$D$166,MATCH(L53,'Raw Forecasting NPS Data'!$I$6:$I$166,0))</f>
        <v>NMIBC BCG Persistent</v>
      </c>
      <c r="K53" s="417" t="str">
        <f>_xlfn.IFNA(INDEX('MCODE Final Mapping'!$L$6:$L$67,MATCH('2024 Competitive Landscape'!$L53,'MCODE Final Mapping'!$K$6:$K$67,0)),"-")</f>
        <v>PROMO-US-2024 KEYTRUDA BLAD -NMIBC</v>
      </c>
      <c r="L53" s="417" t="s">
        <v>225</v>
      </c>
      <c r="M53" s="417" t="s">
        <v>459</v>
      </c>
      <c r="N53" s="418" t="s">
        <v>459</v>
      </c>
    </row>
    <row r="54" spans="10:15" x14ac:dyDescent="0.35">
      <c r="J54" s="416" t="str">
        <f>INDEX('Raw Forecasting NPS Data'!$D$6:$D$166,MATCH(L54,'Raw Forecasting NPS Data'!$I$6:$I$166,0))</f>
        <v>NMIBC</v>
      </c>
      <c r="K54" s="417" t="str">
        <f>_xlfn.IFNA(INDEX('MCODE Final Mapping'!$L$6:$L$67,MATCH('2024 Competitive Landscape'!$L54,'MCODE Final Mapping'!$K$6:$K$67,0)),"-")</f>
        <v>PROMO-US-2024 KEYTRUDA BLAD -NMIBC</v>
      </c>
      <c r="L54" s="417" t="s">
        <v>227</v>
      </c>
      <c r="M54" s="417" t="s">
        <v>459</v>
      </c>
      <c r="N54" s="418" t="s">
        <v>459</v>
      </c>
    </row>
    <row r="55" spans="10:15" x14ac:dyDescent="0.35">
      <c r="J55" s="416" t="str">
        <f>INDEX('Raw Forecasting NPS Data'!$D$6:$D$166,MATCH(L55,'Raw Forecasting NPS Data'!$I$6:$I$166,0))</f>
        <v>NSCLC</v>
      </c>
      <c r="K55" s="417" t="str">
        <f>_xlfn.IFNA(INDEX('MCODE Final Mapping'!$L$6:$L$67,MATCH('2024 Competitive Landscape'!$L55,'MCODE Final Mapping'!$K$6:$K$67,0)),"-")</f>
        <v>PROMO-US-2024 KEYTRUDA LUNG</v>
      </c>
      <c r="L55" s="417" t="s">
        <v>233</v>
      </c>
      <c r="M55" s="417" t="s">
        <v>459</v>
      </c>
      <c r="N55" s="418" t="s">
        <v>459</v>
      </c>
    </row>
    <row r="56" spans="10:15" x14ac:dyDescent="0.35">
      <c r="J56" s="715" t="str">
        <f>INDEX('Raw Forecasting NPS Data'!$D$6:$D$166,MATCH(L56,'Raw Forecasting NPS Data'!$I$6:$I$166,0))</f>
        <v>NSCLC</v>
      </c>
      <c r="K56" s="716" t="str">
        <f>_xlfn.IFNA(INDEX('MCODE Final Mapping'!$L$6:$L$67,MATCH('2024 Competitive Landscape'!$L56,'MCODE Final Mapping'!$K$6:$K$67,0)),"-")</f>
        <v>-</v>
      </c>
      <c r="L56" s="716" t="s">
        <v>239</v>
      </c>
      <c r="M56" s="716" t="s">
        <v>459</v>
      </c>
      <c r="N56" s="717" t="s">
        <v>459</v>
      </c>
      <c r="O56" s="831" t="s">
        <v>1167</v>
      </c>
    </row>
    <row r="57" spans="10:15" x14ac:dyDescent="0.35">
      <c r="J57" s="416" t="str">
        <f>INDEX('Raw Forecasting NPS Data'!$D$6:$D$166,MATCH(L57,'Raw Forecasting NPS Data'!$I$6:$I$166,0))</f>
        <v>NSCLC</v>
      </c>
      <c r="K57" s="417" t="str">
        <f>_xlfn.IFNA(INDEX('MCODE Final Mapping'!$L$6:$L$67,MATCH('2024 Competitive Landscape'!$L57,'MCODE Final Mapping'!$K$6:$K$67,0)),"-")</f>
        <v>PROMO-US-2024 KEYTRUDA LUNG</v>
      </c>
      <c r="L57" s="417" t="s">
        <v>244</v>
      </c>
      <c r="M57" s="417" t="s">
        <v>459</v>
      </c>
      <c r="N57" s="418" t="s">
        <v>459</v>
      </c>
    </row>
    <row r="58" spans="10:15" x14ac:dyDescent="0.35">
      <c r="J58" s="416" t="str">
        <f>INDEX('Raw Forecasting NPS Data'!$D$6:$D$166,MATCH(L58,'Raw Forecasting NPS Data'!$I$6:$I$166,0))</f>
        <v>NSCLC</v>
      </c>
      <c r="K58" s="417" t="str">
        <f>_xlfn.IFNA(INDEX('MCODE Final Mapping'!$L$6:$L$67,MATCH('2024 Competitive Landscape'!$L58,'MCODE Final Mapping'!$K$6:$K$67,0)),"-")</f>
        <v>PROMO-US-2024 KEYTRUDA LUNG</v>
      </c>
      <c r="L58" s="417" t="s">
        <v>250</v>
      </c>
      <c r="M58" s="417" t="s">
        <v>459</v>
      </c>
      <c r="N58" s="418" t="s">
        <v>459</v>
      </c>
    </row>
    <row r="59" spans="10:15" x14ac:dyDescent="0.35">
      <c r="J59" s="715" t="str">
        <f>INDEX('Raw Forecasting NPS Data'!$D$6:$D$166,MATCH(L59,'Raw Forecasting NPS Data'!$I$6:$I$166,0))</f>
        <v>NSCLC</v>
      </c>
      <c r="K59" s="716" t="str">
        <f>_xlfn.IFNA(INDEX('MCODE Final Mapping'!$L$6:$L$67,MATCH('2024 Competitive Landscape'!$L59,'MCODE Final Mapping'!$K$6:$K$67,0)),"-")</f>
        <v>-</v>
      </c>
      <c r="L59" s="716" t="s">
        <v>253</v>
      </c>
      <c r="M59" s="716" t="s">
        <v>459</v>
      </c>
      <c r="N59" s="827" t="s">
        <v>1171</v>
      </c>
      <c r="O59" s="830" t="s">
        <v>1158</v>
      </c>
    </row>
    <row r="60" spans="10:15" x14ac:dyDescent="0.35">
      <c r="J60" s="416" t="str">
        <f>INDEX('Raw Forecasting NPS Data'!$D$6:$D$166,MATCH(L60,'Raw Forecasting NPS Data'!$I$6:$I$166,0))</f>
        <v>NSCLC</v>
      </c>
      <c r="K60" s="417" t="str">
        <f>_xlfn.IFNA(INDEX('MCODE Final Mapping'!$L$6:$L$67,MATCH('2024 Competitive Landscape'!$L60,'MCODE Final Mapping'!$K$6:$K$67,0)),"-")</f>
        <v>PROMO-US-2024 KEYTRUDA LUNG</v>
      </c>
      <c r="L60" s="417" t="s">
        <v>258</v>
      </c>
      <c r="M60" s="417" t="s">
        <v>459</v>
      </c>
      <c r="N60" s="418" t="s">
        <v>459</v>
      </c>
    </row>
    <row r="61" spans="10:15" x14ac:dyDescent="0.35">
      <c r="J61" s="416" t="str">
        <f>INDEX('Raw Forecasting NPS Data'!$D$6:$D$166,MATCH(L61,'Raw Forecasting NPS Data'!$I$6:$I$166,0))</f>
        <v>NSCLC</v>
      </c>
      <c r="K61" s="417" t="str">
        <f>_xlfn.IFNA(INDEX('MCODE Final Mapping'!$L$6:$L$67,MATCH('2024 Competitive Landscape'!$L61,'MCODE Final Mapping'!$K$6:$K$67,0)),"-")</f>
        <v>PROMO-US-2024 LENVIMA LUNG</v>
      </c>
      <c r="L61" s="417" t="s">
        <v>261</v>
      </c>
      <c r="M61" s="417" t="s">
        <v>459</v>
      </c>
      <c r="N61" s="418" t="s">
        <v>459</v>
      </c>
    </row>
    <row r="62" spans="10:15" x14ac:dyDescent="0.35">
      <c r="J62" s="416" t="str">
        <f>INDEX('Raw Forecasting NPS Data'!$D$6:$D$166,MATCH(L62,'Raw Forecasting NPS Data'!$I$6:$I$166,0))</f>
        <v>NSCLC</v>
      </c>
      <c r="K62" s="417" t="str">
        <f>_xlfn.IFNA(INDEX('MCODE Final Mapping'!$L$6:$L$67,MATCH('2024 Competitive Landscape'!$L62,'MCODE Final Mapping'!$K$6:$K$67,0)),"-")</f>
        <v>PROMO-US-2024 LENVIMA LUNG</v>
      </c>
      <c r="L62" s="417" t="s">
        <v>264</v>
      </c>
      <c r="M62" s="417" t="s">
        <v>459</v>
      </c>
      <c r="N62" s="418" t="s">
        <v>459</v>
      </c>
    </row>
    <row r="63" spans="10:15" x14ac:dyDescent="0.35">
      <c r="J63" s="416" t="str">
        <f>INDEX('Raw Forecasting NPS Data'!$D$6:$D$166,MATCH(L63,'Raw Forecasting NPS Data'!$I$6:$I$166,0))</f>
        <v>NSCLC</v>
      </c>
      <c r="K63" s="417" t="str">
        <f>_xlfn.IFNA(INDEX('MCODE Final Mapping'!$L$6:$L$67,MATCH('2024 Competitive Landscape'!$L63,'MCODE Final Mapping'!$K$6:$K$67,0)),"-")</f>
        <v>PROMO-US-2024 KEYTRUDA LUNG</v>
      </c>
      <c r="L63" s="417" t="s">
        <v>269</v>
      </c>
      <c r="M63" s="417" t="s">
        <v>459</v>
      </c>
      <c r="N63" s="418" t="s">
        <v>459</v>
      </c>
    </row>
    <row r="64" spans="10:15" x14ac:dyDescent="0.35">
      <c r="J64" s="416" t="str">
        <f>INDEX('Raw Forecasting NPS Data'!$D$6:$D$166,MATCH(L64,'Raw Forecasting NPS Data'!$I$6:$I$166,0))</f>
        <v>NSCLC</v>
      </c>
      <c r="K64" s="417" t="str">
        <f>_xlfn.IFNA(INDEX('MCODE Final Mapping'!$L$6:$L$67,MATCH('2024 Competitive Landscape'!$L64,'MCODE Final Mapping'!$K$6:$K$67,0)),"-")</f>
        <v>PROMO-US-2024 KEYTRUDA LUNG</v>
      </c>
      <c r="L64" s="417" t="s">
        <v>272</v>
      </c>
      <c r="M64" s="417" t="s">
        <v>459</v>
      </c>
      <c r="N64" s="418" t="s">
        <v>459</v>
      </c>
    </row>
    <row r="65" spans="10:15" x14ac:dyDescent="0.35">
      <c r="J65" s="416" t="str">
        <f>INDEX('Raw Forecasting NPS Data'!$D$6:$D$166,MATCH(L65,'Raw Forecasting NPS Data'!$I$6:$I$166,0))</f>
        <v>Ovarian</v>
      </c>
      <c r="K65" s="417" t="str">
        <f>_xlfn.IFNA(INDEX('MCODE Final Mapping'!$L$6:$L$67,MATCH('2024 Competitive Landscape'!$L65,'MCODE Final Mapping'!$K$6:$K$67,0)),"-")</f>
        <v>PROMO-US-2024 KEYTRUDA OVARIAN AND GYN</v>
      </c>
      <c r="L65" s="417" t="s">
        <v>278</v>
      </c>
      <c r="M65" s="417" t="s">
        <v>459</v>
      </c>
      <c r="N65" s="418" t="s">
        <v>459</v>
      </c>
      <c r="O65" s="830" t="s">
        <v>1172</v>
      </c>
    </row>
    <row r="66" spans="10:15" x14ac:dyDescent="0.35">
      <c r="J66" s="416" t="str">
        <f>INDEX('Raw Forecasting NPS Data'!$D$6:$D$166,MATCH(L66,'Raw Forecasting NPS Data'!$I$6:$I$166,0))</f>
        <v>RCC</v>
      </c>
      <c r="K66" s="417" t="str">
        <f>_xlfn.IFNA(INDEX('MCODE Final Mapping'!$L$6:$L$67,MATCH('2024 Competitive Landscape'!$L66,'MCODE Final Mapping'!$K$6:$K$67,0)),"-")</f>
        <v>PROMO-US-2024 LENVIMA RCC</v>
      </c>
      <c r="L66" s="417" t="s">
        <v>291</v>
      </c>
      <c r="M66" s="417" t="s">
        <v>459</v>
      </c>
      <c r="N66" s="418" t="s">
        <v>459</v>
      </c>
    </row>
    <row r="67" spans="10:15" x14ac:dyDescent="0.35">
      <c r="J67" s="416" t="str">
        <f>INDEX('Raw Forecasting NPS Data'!$D$6:$D$166,MATCH(L67,'Raw Forecasting NPS Data'!$I$6:$I$166,0))</f>
        <v>RCC</v>
      </c>
      <c r="K67" s="417" t="str">
        <f>_xlfn.IFNA(INDEX('MCODE Final Mapping'!$L$6:$L$67,MATCH('2024 Competitive Landscape'!$L67,'MCODE Final Mapping'!$K$6:$K$67,0)),"-")</f>
        <v>PROMO-US-2024 KEYTRUDA ADJUVANT RCC</v>
      </c>
      <c r="L67" s="417" t="s">
        <v>351</v>
      </c>
      <c r="M67" s="417" t="s">
        <v>461</v>
      </c>
      <c r="N67" s="418" t="s">
        <v>461</v>
      </c>
    </row>
    <row r="68" spans="10:15" x14ac:dyDescent="0.35">
      <c r="J68" s="715" t="str">
        <f>INDEX('Raw Forecasting NPS Data'!$D$6:$D$166,MATCH(L68,'Raw Forecasting NPS Data'!$I$6:$I$166,0))</f>
        <v>RCC</v>
      </c>
      <c r="K68" s="716" t="str">
        <f>_xlfn.IFNA(INDEX('MCODE Final Mapping'!$L$6:$L$67,MATCH('2024 Competitive Landscape'!$L68,'MCODE Final Mapping'!$K$6:$K$67,0)),"-")</f>
        <v>-</v>
      </c>
      <c r="L68" s="716" t="s">
        <v>298</v>
      </c>
      <c r="M68" s="716" t="s">
        <v>459</v>
      </c>
      <c r="N68" s="827" t="s">
        <v>1169</v>
      </c>
      <c r="O68" s="830" t="s">
        <v>1170</v>
      </c>
    </row>
    <row r="69" spans="10:15" x14ac:dyDescent="0.35">
      <c r="J69" s="416" t="str">
        <f>INDEX('Raw Forecasting NPS Data'!$D$6:$D$166,MATCH(L69,'Raw Forecasting NPS Data'!$I$6:$I$166,0))</f>
        <v>RCC</v>
      </c>
      <c r="K69" s="417" t="str">
        <f>_xlfn.IFNA(INDEX('MCODE Final Mapping'!$L$6:$L$67,MATCH('2024 Competitive Landscape'!$L69,'MCODE Final Mapping'!$K$6:$K$67,0)),"-")</f>
        <v>PROMO-US-2024 LENVIMA RCC</v>
      </c>
      <c r="L69" s="417" t="s">
        <v>301</v>
      </c>
      <c r="M69" s="417" t="s">
        <v>459</v>
      </c>
      <c r="N69" s="826" t="s">
        <v>459</v>
      </c>
      <c r="O69" s="829" t="s">
        <v>1175</v>
      </c>
    </row>
    <row r="70" spans="10:15" x14ac:dyDescent="0.35">
      <c r="J70" s="416" t="str">
        <f>INDEX('Raw Forecasting NPS Data'!$D$6:$D$166,MATCH(L70,'Raw Forecasting NPS Data'!$I$6:$I$166,0))</f>
        <v>RCC</v>
      </c>
      <c r="K70" s="417" t="str">
        <f>_xlfn.IFNA(INDEX('MCODE Final Mapping'!$L$6:$L$67,MATCH('2024 Competitive Landscape'!$L70,'MCODE Final Mapping'!$K$6:$K$67,0)),"-")</f>
        <v>PROMO-US-2024 WELIREG TUMORS</v>
      </c>
      <c r="L70" s="417" t="s">
        <v>306</v>
      </c>
      <c r="M70" s="417" t="s">
        <v>459</v>
      </c>
      <c r="N70" s="418" t="s">
        <v>459</v>
      </c>
    </row>
    <row r="71" spans="10:15" x14ac:dyDescent="0.35">
      <c r="J71" s="715" t="str">
        <f>INDEX('Raw Forecasting NPS Data'!$D$6:$D$166,MATCH(L71,'Raw Forecasting NPS Data'!$I$6:$I$166,0))</f>
        <v>SCLC</v>
      </c>
      <c r="K71" s="716" t="str">
        <f>_xlfn.IFNA(INDEX('MCODE Final Mapping'!$L$6:$L$67,MATCH('2024 Competitive Landscape'!$L71,'MCODE Final Mapping'!$K$6:$K$67,0)),"-")</f>
        <v>-</v>
      </c>
      <c r="L71" s="716" t="s">
        <v>313</v>
      </c>
      <c r="M71" s="716" t="s">
        <v>459</v>
      </c>
      <c r="N71" s="827" t="s">
        <v>1169</v>
      </c>
      <c r="O71" s="830" t="s">
        <v>1158</v>
      </c>
    </row>
    <row r="72" spans="10:15" x14ac:dyDescent="0.35">
      <c r="J72" s="416" t="str">
        <f>INDEX('Raw Forecasting NPS Data'!$D$6:$D$166,MATCH(L72,'Raw Forecasting NPS Data'!$I$6:$I$166,0))</f>
        <v>TNBC</v>
      </c>
      <c r="K72" s="417" t="str">
        <f>_xlfn.IFNA(INDEX('MCODE Final Mapping'!$L$6:$L$67,MATCH('2024 Competitive Landscape'!$L72,'MCODE Final Mapping'!$K$6:$K$67,0)),"-")</f>
        <v>PROMO-US-2024 KEYTRUDA BREAST CANC</v>
      </c>
      <c r="L72" s="417" t="s">
        <v>323</v>
      </c>
      <c r="M72" s="417" t="s">
        <v>459</v>
      </c>
      <c r="N72" s="418" t="s">
        <v>459</v>
      </c>
    </row>
    <row r="73" spans="10:15" x14ac:dyDescent="0.35">
      <c r="J73" s="416" t="str">
        <f>INDEX('Raw Forecasting NPS Data'!$D$6:$D$166,MATCH(L73,'Raw Forecasting NPS Data'!$I$6:$I$166,0))</f>
        <v>TNBC</v>
      </c>
      <c r="K73" s="417" t="str">
        <f>_xlfn.IFNA(INDEX('MCODE Final Mapping'!$L$6:$L$67,MATCH('2024 Competitive Landscape'!$L73,'MCODE Final Mapping'!$K$6:$K$67,0)),"-")</f>
        <v>PROMO-US-2024 KEYTRUDA BREAST CANC</v>
      </c>
      <c r="L73" s="417" t="s">
        <v>325</v>
      </c>
      <c r="M73" s="417" t="s">
        <v>459</v>
      </c>
      <c r="N73" s="418" t="s">
        <v>459</v>
      </c>
    </row>
    <row r="74" spans="10:15" x14ac:dyDescent="0.35">
      <c r="J74" s="416" t="str">
        <f>INDEX('Raw Forecasting NPS Data'!$D$6:$D$166,MATCH(L74,'Raw Forecasting NPS Data'!$I$6:$I$166,0))</f>
        <v>TNBC</v>
      </c>
      <c r="K74" s="417" t="str">
        <f>_xlfn.IFNA(INDEX('MCODE Final Mapping'!$L$6:$L$67,MATCH('2024 Competitive Landscape'!$L74,'MCODE Final Mapping'!$K$6:$K$67,0)),"-")</f>
        <v>PROMO-US-2024 KEYTRUDA BREAST CANC</v>
      </c>
      <c r="L74" s="417" t="s">
        <v>329</v>
      </c>
      <c r="M74" s="417" t="s">
        <v>459</v>
      </c>
      <c r="N74" s="418" t="s">
        <v>459</v>
      </c>
    </row>
    <row r="75" spans="10:15" x14ac:dyDescent="0.35">
      <c r="J75" s="416" t="str">
        <f>INDEX('Raw Forecasting NPS Data'!$D$6:$D$166,MATCH(L75,'Raw Forecasting NPS Data'!$I$6:$I$166,0))</f>
        <v>Urothelial</v>
      </c>
      <c r="K75" s="417" t="str">
        <f>_xlfn.IFNA(INDEX('MCODE Final Mapping'!$L$6:$L$67,MATCH('2024 Competitive Landscape'!$L75,'MCODE Final Mapping'!$K$6:$K$67,0)),"-")</f>
        <v>PROMO-US-2024 KEYTRUDA BLAD - mUC</v>
      </c>
      <c r="L75" s="417" t="s">
        <v>336</v>
      </c>
      <c r="M75" s="417" t="s">
        <v>461</v>
      </c>
      <c r="N75" s="418" t="s">
        <v>461</v>
      </c>
    </row>
    <row r="76" spans="10:15" ht="15" thickBot="1" x14ac:dyDescent="0.4">
      <c r="J76" s="419" t="str">
        <f>INDEX('Raw Forecasting NPS Data'!$D$6:$D$166,MATCH(L76,'Raw Forecasting NPS Data'!$I$6:$I$166,0))</f>
        <v>VHL</v>
      </c>
      <c r="K76" s="420" t="str">
        <f>_xlfn.IFNA(INDEX('MCODE Final Mapping'!$L$6:$L$67,MATCH('2024 Competitive Landscape'!$L76,'MCODE Final Mapping'!$K$6:$K$67,0)),"-")</f>
        <v>PROMO-US-2024 WELIREG TUMORS</v>
      </c>
      <c r="L76" s="420" t="s">
        <v>342</v>
      </c>
      <c r="M76" s="420" t="s">
        <v>460</v>
      </c>
      <c r="N76" s="421" t="s">
        <v>460</v>
      </c>
    </row>
    <row r="77" spans="10:15" x14ac:dyDescent="0.35">
      <c r="L77"/>
    </row>
    <row r="78" spans="10:15" x14ac:dyDescent="0.35">
      <c r="L78"/>
    </row>
    <row r="79" spans="10:15" x14ac:dyDescent="0.35">
      <c r="L79"/>
    </row>
    <row r="80" spans="10:15" x14ac:dyDescent="0.35">
      <c r="L80"/>
    </row>
    <row r="81" spans="12:12" x14ac:dyDescent="0.35">
      <c r="L81"/>
    </row>
    <row r="82" spans="12:12" x14ac:dyDescent="0.35">
      <c r="L82"/>
    </row>
    <row r="83" spans="12:12" x14ac:dyDescent="0.35">
      <c r="L83"/>
    </row>
    <row r="84" spans="12:12" x14ac:dyDescent="0.35">
      <c r="L84"/>
    </row>
    <row r="85" spans="12:12" x14ac:dyDescent="0.35">
      <c r="L85"/>
    </row>
    <row r="86" spans="12:12" x14ac:dyDescent="0.35">
      <c r="L86"/>
    </row>
    <row r="87" spans="12:12" x14ac:dyDescent="0.35">
      <c r="L87"/>
    </row>
    <row r="88" spans="12:12" x14ac:dyDescent="0.35">
      <c r="L88"/>
    </row>
    <row r="89" spans="12:12" x14ac:dyDescent="0.35">
      <c r="L89"/>
    </row>
    <row r="90" spans="12:12" x14ac:dyDescent="0.35">
      <c r="L90"/>
    </row>
    <row r="91" spans="12:12" x14ac:dyDescent="0.35">
      <c r="L91"/>
    </row>
    <row r="92" spans="12:12" x14ac:dyDescent="0.35">
      <c r="L92"/>
    </row>
    <row r="93" spans="12:12" x14ac:dyDescent="0.35">
      <c r="L93"/>
    </row>
    <row r="94" spans="12:12" x14ac:dyDescent="0.35">
      <c r="L94"/>
    </row>
    <row r="95" spans="12:12" x14ac:dyDescent="0.35">
      <c r="L95"/>
    </row>
    <row r="96" spans="12:12" x14ac:dyDescent="0.35">
      <c r="L96"/>
    </row>
    <row r="97" spans="12:12" x14ac:dyDescent="0.35">
      <c r="L97"/>
    </row>
    <row r="98" spans="12:12" x14ac:dyDescent="0.35">
      <c r="L98"/>
    </row>
    <row r="99" spans="12:12" x14ac:dyDescent="0.35">
      <c r="L99"/>
    </row>
    <row r="100" spans="12:12" x14ac:dyDescent="0.35">
      <c r="L100"/>
    </row>
    <row r="101" spans="12:12" x14ac:dyDescent="0.35">
      <c r="L101"/>
    </row>
    <row r="102" spans="12:12" x14ac:dyDescent="0.35">
      <c r="L102"/>
    </row>
    <row r="103" spans="12:12" x14ac:dyDescent="0.35">
      <c r="L103"/>
    </row>
    <row r="104" spans="12:12" x14ac:dyDescent="0.35">
      <c r="L104"/>
    </row>
    <row r="105" spans="12:12" x14ac:dyDescent="0.35">
      <c r="L105"/>
    </row>
    <row r="106" spans="12:12" x14ac:dyDescent="0.35">
      <c r="L106"/>
    </row>
    <row r="107" spans="12:12" x14ac:dyDescent="0.35">
      <c r="L107"/>
    </row>
    <row r="108" spans="12:12" x14ac:dyDescent="0.35">
      <c r="L108"/>
    </row>
    <row r="109" spans="12:12" x14ac:dyDescent="0.35">
      <c r="L109"/>
    </row>
    <row r="110" spans="12:12" x14ac:dyDescent="0.35">
      <c r="L110"/>
    </row>
    <row r="111" spans="12:12" x14ac:dyDescent="0.35">
      <c r="L111"/>
    </row>
    <row r="112" spans="12:12" x14ac:dyDescent="0.35">
      <c r="L112"/>
    </row>
    <row r="113" spans="12:12" x14ac:dyDescent="0.35">
      <c r="L113"/>
    </row>
    <row r="114" spans="12:12" x14ac:dyDescent="0.35">
      <c r="L114"/>
    </row>
    <row r="115" spans="12:12" x14ac:dyDescent="0.35">
      <c r="L115"/>
    </row>
    <row r="116" spans="12:12" x14ac:dyDescent="0.35">
      <c r="L116"/>
    </row>
    <row r="117" spans="12:12" x14ac:dyDescent="0.35">
      <c r="L117"/>
    </row>
    <row r="118" spans="12:12" x14ac:dyDescent="0.35">
      <c r="L118"/>
    </row>
    <row r="119" spans="12:12" x14ac:dyDescent="0.35">
      <c r="L119"/>
    </row>
    <row r="120" spans="12:12" x14ac:dyDescent="0.35">
      <c r="L120"/>
    </row>
    <row r="121" spans="12:12" x14ac:dyDescent="0.35">
      <c r="L121"/>
    </row>
    <row r="122" spans="12:12" x14ac:dyDescent="0.35">
      <c r="L122"/>
    </row>
    <row r="123" spans="12:12" x14ac:dyDescent="0.35">
      <c r="L123"/>
    </row>
    <row r="124" spans="12:12" x14ac:dyDescent="0.35">
      <c r="L124"/>
    </row>
    <row r="125" spans="12:12" x14ac:dyDescent="0.35">
      <c r="L125"/>
    </row>
    <row r="126" spans="12:12" x14ac:dyDescent="0.35">
      <c r="L126"/>
    </row>
    <row r="127" spans="12:12" x14ac:dyDescent="0.35">
      <c r="L127"/>
    </row>
    <row r="128" spans="12:12" x14ac:dyDescent="0.35">
      <c r="L128"/>
    </row>
    <row r="129" spans="12:12" x14ac:dyDescent="0.35">
      <c r="L129"/>
    </row>
    <row r="130" spans="12:12" x14ac:dyDescent="0.35">
      <c r="L130"/>
    </row>
    <row r="131" spans="12:12" x14ac:dyDescent="0.35">
      <c r="L131"/>
    </row>
    <row r="132" spans="12:12" x14ac:dyDescent="0.35">
      <c r="L132"/>
    </row>
    <row r="133" spans="12:12" x14ac:dyDescent="0.35">
      <c r="L133"/>
    </row>
    <row r="134" spans="12:12" x14ac:dyDescent="0.35">
      <c r="L134"/>
    </row>
    <row r="135" spans="12:12" x14ac:dyDescent="0.35">
      <c r="L135"/>
    </row>
    <row r="136" spans="12:12" x14ac:dyDescent="0.35">
      <c r="L136"/>
    </row>
    <row r="137" spans="12:12" x14ac:dyDescent="0.35">
      <c r="L137"/>
    </row>
    <row r="138" spans="12:12" x14ac:dyDescent="0.35">
      <c r="L138"/>
    </row>
    <row r="139" spans="12:12" x14ac:dyDescent="0.35">
      <c r="L139"/>
    </row>
    <row r="140" spans="12:12" x14ac:dyDescent="0.35">
      <c r="L140"/>
    </row>
    <row r="141" spans="12:12" x14ac:dyDescent="0.35">
      <c r="L141"/>
    </row>
    <row r="142" spans="12:12" x14ac:dyDescent="0.35">
      <c r="L142"/>
    </row>
    <row r="143" spans="12:12" x14ac:dyDescent="0.35">
      <c r="L143"/>
    </row>
    <row r="144" spans="12:12" x14ac:dyDescent="0.35">
      <c r="L144"/>
    </row>
    <row r="145" spans="12:12" x14ac:dyDescent="0.35">
      <c r="L145"/>
    </row>
    <row r="146" spans="12:12" x14ac:dyDescent="0.35">
      <c r="L146"/>
    </row>
    <row r="147" spans="12:12" x14ac:dyDescent="0.35">
      <c r="L147"/>
    </row>
    <row r="148" spans="12:12" x14ac:dyDescent="0.35">
      <c r="L148"/>
    </row>
    <row r="149" spans="12:12" x14ac:dyDescent="0.35">
      <c r="L149"/>
    </row>
    <row r="150" spans="12:12" x14ac:dyDescent="0.35">
      <c r="L150"/>
    </row>
    <row r="151" spans="12:12" x14ac:dyDescent="0.35">
      <c r="L151"/>
    </row>
    <row r="152" spans="12:12" x14ac:dyDescent="0.35">
      <c r="L152"/>
    </row>
    <row r="153" spans="12:12" x14ac:dyDescent="0.35">
      <c r="L153"/>
    </row>
    <row r="154" spans="12:12" x14ac:dyDescent="0.35">
      <c r="L154"/>
    </row>
    <row r="155" spans="12:12" x14ac:dyDescent="0.35">
      <c r="L155"/>
    </row>
    <row r="156" spans="12:12" x14ac:dyDescent="0.35">
      <c r="L156"/>
    </row>
    <row r="157" spans="12:12" x14ac:dyDescent="0.35">
      <c r="L157"/>
    </row>
    <row r="158" spans="12:12" x14ac:dyDescent="0.35">
      <c r="L158"/>
    </row>
    <row r="159" spans="12:12" x14ac:dyDescent="0.35">
      <c r="L159"/>
    </row>
    <row r="160" spans="12:12" x14ac:dyDescent="0.35">
      <c r="L160"/>
    </row>
    <row r="161" spans="12:12" x14ac:dyDescent="0.35">
      <c r="L161"/>
    </row>
    <row r="162" spans="12:12" x14ac:dyDescent="0.35">
      <c r="L162"/>
    </row>
    <row r="163" spans="12:12" x14ac:dyDescent="0.35">
      <c r="L163"/>
    </row>
    <row r="164" spans="12:12" x14ac:dyDescent="0.35">
      <c r="L164"/>
    </row>
    <row r="165" spans="12:12" x14ac:dyDescent="0.35">
      <c r="L165"/>
    </row>
    <row r="166" spans="12:12" x14ac:dyDescent="0.35">
      <c r="L166"/>
    </row>
  </sheetData>
  <mergeCells count="6">
    <mergeCell ref="O39:O43"/>
    <mergeCell ref="B4:F4"/>
    <mergeCell ref="B16:F16"/>
    <mergeCell ref="B26:F26"/>
    <mergeCell ref="B37:F37"/>
    <mergeCell ref="O10:P10"/>
  </mergeCell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71DD-20A4-4213-96F6-9B3FDD5915BB}">
  <sheetPr filterMode="1">
    <tabColor theme="5" tint="0.39997558519241921"/>
  </sheetPr>
  <dimension ref="B1:AH120"/>
  <sheetViews>
    <sheetView topLeftCell="I1" zoomScaleNormal="100" workbookViewId="0">
      <selection activeCell="J108" sqref="J108"/>
    </sheetView>
  </sheetViews>
  <sheetFormatPr defaultRowHeight="14.5" x14ac:dyDescent="0.35"/>
  <cols>
    <col min="1" max="1" width="3.26953125" style="4" customWidth="1"/>
    <col min="2" max="2" width="19.08984375" style="4" bestFit="1" customWidth="1"/>
    <col min="3" max="3" width="27.36328125" style="4" bestFit="1" customWidth="1"/>
    <col min="4" max="4" width="68.7265625" style="4" bestFit="1" customWidth="1"/>
    <col min="5" max="5" width="22.08984375" style="4" bestFit="1" customWidth="1"/>
    <col min="6" max="6" width="17.81640625" style="4" bestFit="1" customWidth="1"/>
    <col min="7" max="7" width="76.90625" style="4" bestFit="1" customWidth="1"/>
    <col min="8" max="8" width="50.54296875" style="4" bestFit="1" customWidth="1"/>
    <col min="9" max="9" width="14.7265625" style="4" bestFit="1" customWidth="1"/>
    <col min="10" max="14" width="9.08984375" style="4" bestFit="1" customWidth="1"/>
    <col min="15" max="15" width="17.7265625" style="4" bestFit="1" customWidth="1"/>
    <col min="16" max="16" width="35.7265625" style="4" bestFit="1" customWidth="1"/>
    <col min="17" max="17" width="20.54296875" style="4" bestFit="1" customWidth="1"/>
    <col min="18" max="18" width="25.453125" style="4" bestFit="1" customWidth="1"/>
    <col min="19" max="20" width="39.08984375" style="4" bestFit="1" customWidth="1"/>
    <col min="21" max="23" width="19.6328125" style="4" bestFit="1" customWidth="1"/>
    <col min="24" max="25" width="14.7265625" style="4" bestFit="1" customWidth="1"/>
    <col min="26" max="27" width="17.7265625" style="4" bestFit="1" customWidth="1"/>
    <col min="28" max="29" width="16.6328125" style="4" bestFit="1" customWidth="1"/>
    <col min="30" max="30" width="21" style="4" bestFit="1" customWidth="1"/>
    <col min="31" max="31" width="34.1796875" style="4" bestFit="1" customWidth="1"/>
    <col min="32" max="32" width="35.453125" style="4" bestFit="1" customWidth="1"/>
    <col min="33" max="33" width="41.81640625" style="4" bestFit="1" customWidth="1"/>
    <col min="34" max="34" width="42.90625" style="4" bestFit="1" customWidth="1"/>
    <col min="35" max="16384" width="8.7265625" style="4"/>
  </cols>
  <sheetData>
    <row r="1" spans="2:34" ht="26.5" customHeight="1" x14ac:dyDescent="0.35">
      <c r="B1" s="832" t="s">
        <v>921</v>
      </c>
    </row>
    <row r="2" spans="2:34" x14ac:dyDescent="0.35">
      <c r="B2" s="764" t="s">
        <v>929</v>
      </c>
      <c r="J2" s="768" t="b">
        <f>J3=J4</f>
        <v>1</v>
      </c>
      <c r="K2" s="768" t="b">
        <f t="shared" ref="K2:O2" si="0">K3=K4</f>
        <v>1</v>
      </c>
      <c r="L2" s="768" t="b">
        <f t="shared" si="0"/>
        <v>1</v>
      </c>
      <c r="M2" s="768" t="b">
        <f t="shared" si="0"/>
        <v>1</v>
      </c>
      <c r="N2" s="768" t="b">
        <f t="shared" si="0"/>
        <v>1</v>
      </c>
      <c r="O2" s="768" t="b">
        <f t="shared" si="0"/>
        <v>1</v>
      </c>
      <c r="AD2" s="768" t="b">
        <f>AD3=AD4</f>
        <v>1</v>
      </c>
      <c r="AE2" s="768" t="b">
        <f t="shared" ref="AE2:AH2" si="1">AE3=AE4</f>
        <v>1</v>
      </c>
      <c r="AF2" s="768" t="b">
        <f t="shared" si="1"/>
        <v>1</v>
      </c>
      <c r="AG2" s="768" t="b">
        <f t="shared" si="1"/>
        <v>1</v>
      </c>
      <c r="AH2" s="768" t="b">
        <f t="shared" si="1"/>
        <v>1</v>
      </c>
    </row>
    <row r="3" spans="2:34" x14ac:dyDescent="0.35">
      <c r="B3" s="833" t="s">
        <v>923</v>
      </c>
      <c r="J3" s="768">
        <v>130411.58167300001</v>
      </c>
      <c r="K3" s="768">
        <v>137763.63402866598</v>
      </c>
      <c r="L3" s="768">
        <v>150711.05134700003</v>
      </c>
      <c r="M3" s="768">
        <v>155108.48897700003</v>
      </c>
      <c r="N3" s="768">
        <v>138643.51372899994</v>
      </c>
      <c r="O3" s="768">
        <v>937.64655665699979</v>
      </c>
      <c r="AD3" s="177">
        <v>698933.32027672429</v>
      </c>
      <c r="AE3" s="177">
        <v>1471945</v>
      </c>
      <c r="AF3" s="177">
        <v>1399637.5</v>
      </c>
      <c r="AG3" s="177">
        <v>8588959659.8033953</v>
      </c>
      <c r="AH3" s="177">
        <v>8328024021.2186737</v>
      </c>
    </row>
    <row r="4" spans="2:34" ht="31.5" customHeight="1" thickBot="1" x14ac:dyDescent="0.4">
      <c r="G4" s="183">
        <f t="shared" ref="G4" si="2">COUNTA(_xlfn.UNIQUE(G6:G120))</f>
        <v>76</v>
      </c>
      <c r="H4" s="183">
        <f>COUNTA(_xlfn.UNIQUE(H6:H120))</f>
        <v>54</v>
      </c>
      <c r="J4" s="783">
        <f>SUM(J6:J120)</f>
        <v>130411.58167300001</v>
      </c>
      <c r="K4" s="768">
        <f t="shared" ref="K4:O4" si="3">SUM(K6:K120)</f>
        <v>137763.63402866598</v>
      </c>
      <c r="L4" s="768">
        <f t="shared" si="3"/>
        <v>150711.05134700003</v>
      </c>
      <c r="M4" s="768">
        <f t="shared" si="3"/>
        <v>155108.48897700003</v>
      </c>
      <c r="N4" s="768">
        <f t="shared" si="3"/>
        <v>138643.51372899994</v>
      </c>
      <c r="O4" s="768">
        <f t="shared" si="3"/>
        <v>937.64655665699979</v>
      </c>
      <c r="AD4" s="177">
        <f t="shared" ref="AD4:AH4" si="4">SUM(AD6:AD120)</f>
        <v>698933.32027672429</v>
      </c>
      <c r="AE4" s="177">
        <f t="shared" si="4"/>
        <v>1471945</v>
      </c>
      <c r="AF4" s="177">
        <f t="shared" si="4"/>
        <v>1399637.5</v>
      </c>
      <c r="AG4" s="177">
        <f t="shared" si="4"/>
        <v>8588959659.8033953</v>
      </c>
      <c r="AH4" s="177">
        <f t="shared" si="4"/>
        <v>8328024021.2186737</v>
      </c>
    </row>
    <row r="5" spans="2:34" ht="25.5" customHeight="1" thickBot="1" x14ac:dyDescent="0.4">
      <c r="B5" s="612" t="s">
        <v>355</v>
      </c>
      <c r="C5" s="153" t="s">
        <v>0</v>
      </c>
      <c r="D5" s="154" t="s">
        <v>1</v>
      </c>
      <c r="E5" s="154" t="s">
        <v>2</v>
      </c>
      <c r="F5" s="154" t="s">
        <v>3</v>
      </c>
      <c r="G5" s="154" t="s">
        <v>4</v>
      </c>
      <c r="H5" s="154" t="s">
        <v>5</v>
      </c>
      <c r="I5" s="154" t="s">
        <v>6</v>
      </c>
      <c r="J5" s="154">
        <v>2023</v>
      </c>
      <c r="K5" s="154">
        <v>2024</v>
      </c>
      <c r="L5" s="154">
        <v>2025</v>
      </c>
      <c r="M5" s="154">
        <v>2026</v>
      </c>
      <c r="N5" s="154">
        <v>2027</v>
      </c>
      <c r="O5" s="154" t="s">
        <v>7</v>
      </c>
      <c r="P5" s="154" t="s">
        <v>8</v>
      </c>
      <c r="Q5" s="154" t="s">
        <v>9</v>
      </c>
      <c r="R5" s="154" t="s">
        <v>10</v>
      </c>
      <c r="S5" s="154" t="s">
        <v>11</v>
      </c>
      <c r="T5" s="154" t="s">
        <v>11</v>
      </c>
      <c r="U5" s="154" t="s">
        <v>12</v>
      </c>
      <c r="V5" s="154" t="s">
        <v>13</v>
      </c>
      <c r="W5" s="154" t="s">
        <v>14</v>
      </c>
      <c r="X5" s="154" t="s">
        <v>15</v>
      </c>
      <c r="Y5" s="154" t="s">
        <v>16</v>
      </c>
      <c r="Z5" s="154" t="s">
        <v>17</v>
      </c>
      <c r="AA5" s="154" t="s">
        <v>18</v>
      </c>
      <c r="AB5" s="154" t="s">
        <v>19</v>
      </c>
      <c r="AC5" s="154" t="s">
        <v>20</v>
      </c>
      <c r="AD5" s="158" t="s">
        <v>21</v>
      </c>
      <c r="AE5" s="156" t="s">
        <v>387</v>
      </c>
      <c r="AF5" s="155" t="s">
        <v>388</v>
      </c>
      <c r="AG5" s="155" t="s">
        <v>389</v>
      </c>
      <c r="AH5" s="157" t="s">
        <v>390</v>
      </c>
    </row>
    <row r="6" spans="2:34" hidden="1" x14ac:dyDescent="0.35">
      <c r="B6" s="179" t="s">
        <v>43</v>
      </c>
      <c r="C6" s="144" t="s">
        <v>22</v>
      </c>
      <c r="D6" s="145" t="s">
        <v>23</v>
      </c>
      <c r="E6" s="145" t="s">
        <v>24</v>
      </c>
      <c r="F6" s="145" t="s">
        <v>25</v>
      </c>
      <c r="G6" s="145" t="s">
        <v>26</v>
      </c>
      <c r="H6" s="145" t="s">
        <v>27</v>
      </c>
      <c r="I6" s="145" t="s">
        <v>28</v>
      </c>
      <c r="J6" s="146">
        <v>0</v>
      </c>
      <c r="K6" s="146">
        <v>960.74173700000006</v>
      </c>
      <c r="L6" s="146">
        <v>1835.173573</v>
      </c>
      <c r="M6" s="146">
        <v>1736.757989</v>
      </c>
      <c r="N6" s="146">
        <v>1447.5695620000001</v>
      </c>
      <c r="O6" s="146">
        <v>7.2</v>
      </c>
      <c r="P6" s="147">
        <v>45324</v>
      </c>
      <c r="Q6" s="145" t="s">
        <v>29</v>
      </c>
      <c r="R6" s="145">
        <v>24</v>
      </c>
      <c r="S6" s="145" t="s">
        <v>30</v>
      </c>
      <c r="T6" s="145" t="s">
        <v>31</v>
      </c>
      <c r="U6" s="149">
        <v>6917.3405064000008</v>
      </c>
      <c r="V6" s="149">
        <v>13213.249725600001</v>
      </c>
      <c r="W6" s="149">
        <v>12504.657520799999</v>
      </c>
      <c r="X6" s="148">
        <v>1</v>
      </c>
      <c r="Y6" s="148">
        <v>1</v>
      </c>
      <c r="Z6" s="149">
        <v>6917.3405064000008</v>
      </c>
      <c r="AA6" s="149">
        <v>13213.249725600001</v>
      </c>
      <c r="AB6" s="148">
        <v>0.55000000000000004</v>
      </c>
      <c r="AC6" s="148">
        <v>0.45</v>
      </c>
      <c r="AD6" s="159">
        <v>9750.499655040001</v>
      </c>
      <c r="AE6" s="162">
        <v>11542</v>
      </c>
      <c r="AF6" s="150">
        <v>11542</v>
      </c>
      <c r="AG6" s="150">
        <v>112540267.01847169</v>
      </c>
      <c r="AH6" s="163">
        <v>112540267.01847169</v>
      </c>
    </row>
    <row r="7" spans="2:34" hidden="1" x14ac:dyDescent="0.35">
      <c r="B7" s="180" t="s">
        <v>43</v>
      </c>
      <c r="C7" s="138" t="s">
        <v>33</v>
      </c>
      <c r="D7" s="22" t="s">
        <v>34</v>
      </c>
      <c r="E7" s="22" t="s">
        <v>35</v>
      </c>
      <c r="F7" s="22" t="s">
        <v>25</v>
      </c>
      <c r="G7" s="22" t="s">
        <v>36</v>
      </c>
      <c r="H7" s="22" t="s">
        <v>344</v>
      </c>
      <c r="I7" s="22" t="s">
        <v>28</v>
      </c>
      <c r="J7" s="125">
        <v>0</v>
      </c>
      <c r="K7" s="125">
        <v>956.30157599999995</v>
      </c>
      <c r="L7" s="125">
        <v>1693.1823930000003</v>
      </c>
      <c r="M7" s="125">
        <v>1598.4025809999998</v>
      </c>
      <c r="N7" s="125">
        <v>1294.7644640000001</v>
      </c>
      <c r="O7" s="125">
        <v>14</v>
      </c>
      <c r="P7" s="126">
        <v>45324</v>
      </c>
      <c r="Q7" s="22" t="s">
        <v>37</v>
      </c>
      <c r="R7" s="22">
        <v>24</v>
      </c>
      <c r="S7" s="22" t="s">
        <v>30</v>
      </c>
      <c r="T7" s="22" t="s">
        <v>31</v>
      </c>
      <c r="U7" s="128">
        <v>13388.222064</v>
      </c>
      <c r="V7" s="128">
        <v>23704.553502000002</v>
      </c>
      <c r="W7" s="128">
        <v>22377.636133999997</v>
      </c>
      <c r="X7" s="127">
        <v>1</v>
      </c>
      <c r="Y7" s="127">
        <v>1</v>
      </c>
      <c r="Z7" s="128">
        <v>13388.222064</v>
      </c>
      <c r="AA7" s="128">
        <v>23704.553502000002</v>
      </c>
      <c r="AB7" s="127">
        <v>0.55000000000000004</v>
      </c>
      <c r="AC7" s="127">
        <v>0.45</v>
      </c>
      <c r="AD7" s="160">
        <v>18030.571211100003</v>
      </c>
      <c r="AE7" s="164">
        <v>11542</v>
      </c>
      <c r="AF7" s="129">
        <v>11542</v>
      </c>
      <c r="AG7" s="129">
        <v>208108852.91851625</v>
      </c>
      <c r="AH7" s="165">
        <v>208108852.91851625</v>
      </c>
    </row>
    <row r="8" spans="2:34" hidden="1" x14ac:dyDescent="0.35">
      <c r="B8" s="180" t="s">
        <v>43</v>
      </c>
      <c r="C8" s="138" t="s">
        <v>33</v>
      </c>
      <c r="D8" s="22" t="s">
        <v>38</v>
      </c>
      <c r="E8" s="22" t="s">
        <v>24</v>
      </c>
      <c r="F8" s="22" t="s">
        <v>25</v>
      </c>
      <c r="G8" s="22" t="s">
        <v>39</v>
      </c>
      <c r="H8" s="22" t="s">
        <v>345</v>
      </c>
      <c r="I8" s="22" t="s">
        <v>28</v>
      </c>
      <c r="J8" s="125">
        <v>1980.0246320000001</v>
      </c>
      <c r="K8" s="125">
        <v>1497.168549</v>
      </c>
      <c r="L8" s="125">
        <v>1450.5314269999999</v>
      </c>
      <c r="M8" s="125">
        <v>1375.8724520000003</v>
      </c>
      <c r="N8" s="125">
        <v>1213.9390210000001</v>
      </c>
      <c r="O8" s="125">
        <v>8.2007701619999995</v>
      </c>
      <c r="P8" s="126">
        <v>44482</v>
      </c>
      <c r="Q8" s="22" t="s">
        <v>40</v>
      </c>
      <c r="R8" s="22" t="s">
        <v>41</v>
      </c>
      <c r="S8" s="22" t="s">
        <v>42</v>
      </c>
      <c r="T8" s="22" t="s">
        <v>42</v>
      </c>
      <c r="U8" s="128">
        <v>12277.935164124034</v>
      </c>
      <c r="V8" s="128">
        <v>11895.47484558488</v>
      </c>
      <c r="W8" s="128">
        <v>11283.213751079378</v>
      </c>
      <c r="X8" s="127">
        <v>0.8</v>
      </c>
      <c r="Y8" s="127">
        <v>0.6</v>
      </c>
      <c r="Z8" s="128">
        <v>9822.348131299228</v>
      </c>
      <c r="AA8" s="128">
        <v>7137.2849073509278</v>
      </c>
      <c r="AB8" s="127">
        <v>0.65</v>
      </c>
      <c r="AC8" s="127">
        <v>0.35</v>
      </c>
      <c r="AD8" s="160">
        <v>8882.5760029173234</v>
      </c>
      <c r="AE8" s="164">
        <v>11542</v>
      </c>
      <c r="AF8" s="129">
        <v>11542</v>
      </c>
      <c r="AG8" s="129">
        <v>102522692.22567175</v>
      </c>
      <c r="AH8" s="165">
        <v>102522692.22567175</v>
      </c>
    </row>
    <row r="9" spans="2:34" hidden="1" x14ac:dyDescent="0.35">
      <c r="B9" s="180" t="s">
        <v>43</v>
      </c>
      <c r="C9" s="138" t="s">
        <v>33</v>
      </c>
      <c r="D9" s="22" t="s">
        <v>43</v>
      </c>
      <c r="E9" s="22" t="s">
        <v>44</v>
      </c>
      <c r="F9" s="22" t="s">
        <v>25</v>
      </c>
      <c r="G9" s="22" t="s">
        <v>45</v>
      </c>
      <c r="H9" s="22" t="s">
        <v>346</v>
      </c>
      <c r="I9" s="22" t="s">
        <v>28</v>
      </c>
      <c r="J9" s="125">
        <v>598.07523200000003</v>
      </c>
      <c r="K9" s="125">
        <v>278.97141499999998</v>
      </c>
      <c r="L9" s="125">
        <v>198.91956500000001</v>
      </c>
      <c r="M9" s="125">
        <v>167.04323399999998</v>
      </c>
      <c r="N9" s="125">
        <v>132.834012</v>
      </c>
      <c r="O9" s="125">
        <v>7.1687141700000003</v>
      </c>
      <c r="P9" s="126">
        <v>43263</v>
      </c>
      <c r="Q9" s="22" t="s">
        <v>46</v>
      </c>
      <c r="R9" s="22" t="s">
        <v>41</v>
      </c>
      <c r="S9" s="22" t="s">
        <v>47</v>
      </c>
      <c r="T9" s="22" t="s">
        <v>47</v>
      </c>
      <c r="U9" s="128">
        <v>1999.8663357354505</v>
      </c>
      <c r="V9" s="128">
        <v>1425.9975043057361</v>
      </c>
      <c r="W9" s="128">
        <v>1197.4851985784258</v>
      </c>
      <c r="X9" s="127">
        <v>0.3</v>
      </c>
      <c r="Y9" s="127">
        <v>0.3</v>
      </c>
      <c r="Z9" s="128">
        <v>599.95990072063512</v>
      </c>
      <c r="AA9" s="128">
        <v>427.79925129172085</v>
      </c>
      <c r="AB9" s="127">
        <v>0.65</v>
      </c>
      <c r="AC9" s="127">
        <v>0.35</v>
      </c>
      <c r="AD9" s="160">
        <v>539.70367342051509</v>
      </c>
      <c r="AE9" s="164">
        <v>11542</v>
      </c>
      <c r="AF9" s="129">
        <v>11542</v>
      </c>
      <c r="AG9" s="129">
        <v>6229259.7986195851</v>
      </c>
      <c r="AH9" s="165">
        <v>6229259.7986195851</v>
      </c>
    </row>
    <row r="10" spans="2:34" hidden="1" x14ac:dyDescent="0.35">
      <c r="B10" s="180" t="s">
        <v>43</v>
      </c>
      <c r="C10" s="138" t="s">
        <v>48</v>
      </c>
      <c r="D10" s="22" t="s">
        <v>43</v>
      </c>
      <c r="E10" s="22" t="s">
        <v>24</v>
      </c>
      <c r="F10" s="22" t="s">
        <v>25</v>
      </c>
      <c r="G10" s="22" t="s">
        <v>54</v>
      </c>
      <c r="H10" s="22" t="s">
        <v>55</v>
      </c>
      <c r="I10" s="22" t="s">
        <v>28</v>
      </c>
      <c r="J10" s="125">
        <v>2589.7690780000003</v>
      </c>
      <c r="K10" s="125">
        <v>2289.5151990000004</v>
      </c>
      <c r="L10" s="125">
        <v>1981.3763310000002</v>
      </c>
      <c r="M10" s="125">
        <v>1774.5671070000001</v>
      </c>
      <c r="N10" s="125">
        <v>1422.0269819999999</v>
      </c>
      <c r="O10" s="125">
        <v>9.6336424770000004</v>
      </c>
      <c r="P10" s="126">
        <v>43101</v>
      </c>
      <c r="Q10" s="22" t="s">
        <v>56</v>
      </c>
      <c r="R10" s="22" t="s">
        <v>41</v>
      </c>
      <c r="S10" s="22" t="s">
        <v>57</v>
      </c>
      <c r="T10" s="22" t="s">
        <v>47</v>
      </c>
      <c r="U10" s="128">
        <v>22056.370872823514</v>
      </c>
      <c r="V10" s="128">
        <v>19087.871185244014</v>
      </c>
      <c r="W10" s="128">
        <v>17095.545060282206</v>
      </c>
      <c r="X10" s="127">
        <v>0.3</v>
      </c>
      <c r="Y10" s="127">
        <v>0.3</v>
      </c>
      <c r="Z10" s="128">
        <v>6616.9112618470544</v>
      </c>
      <c r="AA10" s="128">
        <v>5726.3613555732036</v>
      </c>
      <c r="AB10" s="127">
        <v>0.65</v>
      </c>
      <c r="AC10" s="127">
        <v>0.35</v>
      </c>
      <c r="AD10" s="160">
        <v>6305.2187946512067</v>
      </c>
      <c r="AE10" s="164">
        <v>11542</v>
      </c>
      <c r="AF10" s="129">
        <v>11542</v>
      </c>
      <c r="AG10" s="129">
        <v>72774835.32786423</v>
      </c>
      <c r="AH10" s="165">
        <v>72774835.32786423</v>
      </c>
    </row>
    <row r="11" spans="2:34" hidden="1" x14ac:dyDescent="0.35">
      <c r="B11" s="180" t="s">
        <v>43</v>
      </c>
      <c r="C11" s="138" t="s">
        <v>48</v>
      </c>
      <c r="D11" s="22" t="s">
        <v>43</v>
      </c>
      <c r="E11" s="22" t="s">
        <v>44</v>
      </c>
      <c r="F11" s="22" t="s">
        <v>25</v>
      </c>
      <c r="G11" s="22" t="s">
        <v>58</v>
      </c>
      <c r="H11" s="22" t="s">
        <v>59</v>
      </c>
      <c r="I11" s="22" t="s">
        <v>28</v>
      </c>
      <c r="J11" s="125">
        <v>1062.8828559999999</v>
      </c>
      <c r="K11" s="125">
        <v>1100.806431</v>
      </c>
      <c r="L11" s="125">
        <v>1101.6099360000001</v>
      </c>
      <c r="M11" s="125">
        <v>992.03858600000012</v>
      </c>
      <c r="N11" s="125">
        <v>795.07719799999995</v>
      </c>
      <c r="O11" s="125">
        <v>8.8307432539999997</v>
      </c>
      <c r="P11" s="126">
        <v>43101</v>
      </c>
      <c r="Q11" s="22" t="s">
        <v>60</v>
      </c>
      <c r="R11" s="22" t="s">
        <v>41</v>
      </c>
      <c r="S11" s="22" t="s">
        <v>57</v>
      </c>
      <c r="T11" s="22" t="s">
        <v>47</v>
      </c>
      <c r="U11" s="128">
        <v>9720.9389645130668</v>
      </c>
      <c r="V11" s="128">
        <v>9728.0345108713718</v>
      </c>
      <c r="W11" s="128">
        <v>8760.4380510272003</v>
      </c>
      <c r="X11" s="127">
        <v>0.3</v>
      </c>
      <c r="Y11" s="127">
        <v>0.3</v>
      </c>
      <c r="Z11" s="128">
        <v>2916.2816893539198</v>
      </c>
      <c r="AA11" s="128">
        <v>2918.4103532614113</v>
      </c>
      <c r="AB11" s="127">
        <v>0.65</v>
      </c>
      <c r="AC11" s="127">
        <v>0.35</v>
      </c>
      <c r="AD11" s="160">
        <v>2917.0267217215419</v>
      </c>
      <c r="AE11" s="164">
        <v>11542</v>
      </c>
      <c r="AF11" s="129">
        <v>11542</v>
      </c>
      <c r="AG11" s="129">
        <v>33668322.422110036</v>
      </c>
      <c r="AH11" s="165">
        <v>33668322.422110036</v>
      </c>
    </row>
    <row r="12" spans="2:34" hidden="1" x14ac:dyDescent="0.35">
      <c r="B12" s="180" t="s">
        <v>43</v>
      </c>
      <c r="C12" s="138" t="s">
        <v>48</v>
      </c>
      <c r="D12" s="22" t="s">
        <v>43</v>
      </c>
      <c r="E12" s="22" t="s">
        <v>50</v>
      </c>
      <c r="F12" s="22" t="s">
        <v>25</v>
      </c>
      <c r="G12" s="22" t="s">
        <v>61</v>
      </c>
      <c r="H12" s="22" t="s">
        <v>59</v>
      </c>
      <c r="I12" s="22" t="s">
        <v>28</v>
      </c>
      <c r="J12" s="125">
        <v>1224.8603169999999</v>
      </c>
      <c r="K12" s="125">
        <v>1227.4023376660002</v>
      </c>
      <c r="L12" s="125">
        <v>1236.4846889999999</v>
      </c>
      <c r="M12" s="125">
        <v>1082.845851</v>
      </c>
      <c r="N12" s="125">
        <v>903.779357</v>
      </c>
      <c r="O12" s="125">
        <v>8.8307432539999997</v>
      </c>
      <c r="P12" s="126">
        <v>43101</v>
      </c>
      <c r="Q12" s="22" t="s">
        <v>60</v>
      </c>
      <c r="R12" s="22" t="s">
        <v>41</v>
      </c>
      <c r="S12" s="22" t="s">
        <v>57</v>
      </c>
      <c r="T12" s="22" t="s">
        <v>47</v>
      </c>
      <c r="U12" s="128">
        <v>10838.874913287862</v>
      </c>
      <c r="V12" s="128">
        <v>10919.078826061037</v>
      </c>
      <c r="W12" s="128">
        <v>9562.3336938401389</v>
      </c>
      <c r="X12" s="127">
        <v>0.3</v>
      </c>
      <c r="Y12" s="127">
        <v>0.3</v>
      </c>
      <c r="Z12" s="128">
        <v>3251.6624739863587</v>
      </c>
      <c r="AA12" s="128">
        <v>3275.7236478183108</v>
      </c>
      <c r="AB12" s="127">
        <v>0.65</v>
      </c>
      <c r="AC12" s="127">
        <v>0.35</v>
      </c>
      <c r="AD12" s="160">
        <v>3260.0838848275421</v>
      </c>
      <c r="AE12" s="164">
        <v>11542</v>
      </c>
      <c r="AF12" s="129">
        <v>11542</v>
      </c>
      <c r="AG12" s="129">
        <v>37627888.198679492</v>
      </c>
      <c r="AH12" s="165">
        <v>37627888.198679492</v>
      </c>
    </row>
    <row r="13" spans="2:34" hidden="1" x14ac:dyDescent="0.35">
      <c r="B13" s="180" t="s">
        <v>43</v>
      </c>
      <c r="C13" s="138" t="s">
        <v>62</v>
      </c>
      <c r="D13" s="22" t="s">
        <v>43</v>
      </c>
      <c r="E13" s="22" t="s">
        <v>24</v>
      </c>
      <c r="F13" s="22" t="s">
        <v>25</v>
      </c>
      <c r="G13" s="22" t="s">
        <v>63</v>
      </c>
      <c r="H13" s="22" t="s">
        <v>64</v>
      </c>
      <c r="I13" s="22" t="s">
        <v>28</v>
      </c>
      <c r="J13" s="125">
        <v>1319.7863280000001</v>
      </c>
      <c r="K13" s="125">
        <v>1319.7863280000001</v>
      </c>
      <c r="L13" s="125">
        <v>1319.7863280000001</v>
      </c>
      <c r="M13" s="125">
        <v>1189.6566899999998</v>
      </c>
      <c r="N13" s="125">
        <v>955.78835700000002</v>
      </c>
      <c r="O13" s="125">
        <v>8.11</v>
      </c>
      <c r="P13" s="126">
        <v>43984</v>
      </c>
      <c r="Q13" s="22" t="s">
        <v>65</v>
      </c>
      <c r="R13" s="22" t="s">
        <v>41</v>
      </c>
      <c r="S13" s="22" t="s">
        <v>47</v>
      </c>
      <c r="T13" s="22" t="s">
        <v>47</v>
      </c>
      <c r="U13" s="128">
        <v>10703.46712008</v>
      </c>
      <c r="V13" s="128">
        <v>10703.46712008</v>
      </c>
      <c r="W13" s="128">
        <v>9648.1157558999985</v>
      </c>
      <c r="X13" s="127">
        <v>0.3</v>
      </c>
      <c r="Y13" s="127">
        <v>0.3</v>
      </c>
      <c r="Z13" s="128">
        <v>3211.0401360239998</v>
      </c>
      <c r="AA13" s="128">
        <v>3211.0401360239998</v>
      </c>
      <c r="AB13" s="127">
        <v>0.65</v>
      </c>
      <c r="AC13" s="127">
        <v>0.35</v>
      </c>
      <c r="AD13" s="160">
        <v>3211.0401360240003</v>
      </c>
      <c r="AE13" s="164">
        <v>11542</v>
      </c>
      <c r="AF13" s="129">
        <v>11542</v>
      </c>
      <c r="AG13" s="129">
        <v>37061825.24998901</v>
      </c>
      <c r="AH13" s="165">
        <v>37061825.24998901</v>
      </c>
    </row>
    <row r="14" spans="2:34" hidden="1" x14ac:dyDescent="0.35">
      <c r="B14" s="180" t="s">
        <v>43</v>
      </c>
      <c r="C14" s="138" t="s">
        <v>62</v>
      </c>
      <c r="D14" s="22" t="s">
        <v>43</v>
      </c>
      <c r="E14" s="22" t="s">
        <v>44</v>
      </c>
      <c r="F14" s="22" t="s">
        <v>25</v>
      </c>
      <c r="G14" s="22" t="s">
        <v>66</v>
      </c>
      <c r="H14" s="22" t="s">
        <v>64</v>
      </c>
      <c r="I14" s="22" t="s">
        <v>28</v>
      </c>
      <c r="J14" s="125">
        <v>0</v>
      </c>
      <c r="K14" s="125">
        <v>0</v>
      </c>
      <c r="L14" s="125">
        <v>0</v>
      </c>
      <c r="M14" s="125">
        <v>836.94179499999996</v>
      </c>
      <c r="N14" s="125">
        <v>1118.8996349999998</v>
      </c>
      <c r="O14" s="125">
        <v>8.11</v>
      </c>
      <c r="P14" s="126">
        <v>43984</v>
      </c>
      <c r="Q14" s="22" t="s">
        <v>65</v>
      </c>
      <c r="R14" s="22" t="s">
        <v>41</v>
      </c>
      <c r="S14" s="22" t="s">
        <v>47</v>
      </c>
      <c r="T14" s="22" t="s">
        <v>47</v>
      </c>
      <c r="U14" s="128">
        <v>0</v>
      </c>
      <c r="V14" s="128">
        <v>0</v>
      </c>
      <c r="W14" s="128">
        <v>6787.5979574499988</v>
      </c>
      <c r="X14" s="127">
        <v>0.3</v>
      </c>
      <c r="Y14" s="127">
        <v>0.3</v>
      </c>
      <c r="Z14" s="128">
        <v>0</v>
      </c>
      <c r="AA14" s="128">
        <v>0</v>
      </c>
      <c r="AB14" s="127">
        <v>0.65</v>
      </c>
      <c r="AC14" s="127">
        <v>0.35</v>
      </c>
      <c r="AD14" s="160">
        <v>0</v>
      </c>
      <c r="AE14" s="164">
        <v>11542</v>
      </c>
      <c r="AF14" s="129">
        <v>11542</v>
      </c>
      <c r="AG14" s="129">
        <v>0</v>
      </c>
      <c r="AH14" s="165">
        <v>0</v>
      </c>
    </row>
    <row r="15" spans="2:34" hidden="1" x14ac:dyDescent="0.35">
      <c r="B15" s="180" t="s">
        <v>43</v>
      </c>
      <c r="C15" s="138" t="s">
        <v>74</v>
      </c>
      <c r="D15" s="22" t="s">
        <v>75</v>
      </c>
      <c r="E15" s="22" t="s">
        <v>24</v>
      </c>
      <c r="F15" s="22" t="s">
        <v>25</v>
      </c>
      <c r="G15" s="22" t="s">
        <v>76</v>
      </c>
      <c r="H15" s="22" t="s">
        <v>77</v>
      </c>
      <c r="I15" s="22" t="s">
        <v>28</v>
      </c>
      <c r="J15" s="125">
        <v>24.80519</v>
      </c>
      <c r="K15" s="125">
        <v>388.55628000000002</v>
      </c>
      <c r="L15" s="125">
        <v>1516.342662</v>
      </c>
      <c r="M15" s="125">
        <v>1623.93463</v>
      </c>
      <c r="N15" s="125">
        <v>1333.9491760000001</v>
      </c>
      <c r="O15" s="125">
        <v>9.2605670569999994</v>
      </c>
      <c r="P15" s="126">
        <v>45140</v>
      </c>
      <c r="Q15" s="22" t="s">
        <v>78</v>
      </c>
      <c r="R15" s="22" t="s">
        <v>41</v>
      </c>
      <c r="S15" s="22" t="s">
        <v>79</v>
      </c>
      <c r="T15" s="22" t="s">
        <v>80</v>
      </c>
      <c r="U15" s="128">
        <v>3598.2514863584679</v>
      </c>
      <c r="V15" s="128">
        <v>14042.192902840885</v>
      </c>
      <c r="W15" s="128">
        <v>15038.555537299482</v>
      </c>
      <c r="X15" s="127">
        <v>1</v>
      </c>
      <c r="Y15" s="127">
        <v>0.8</v>
      </c>
      <c r="Z15" s="128">
        <v>3598.2514863584679</v>
      </c>
      <c r="AA15" s="128">
        <v>11233.754322272709</v>
      </c>
      <c r="AB15" s="127">
        <v>0.65</v>
      </c>
      <c r="AC15" s="127">
        <v>0.35</v>
      </c>
      <c r="AD15" s="160">
        <v>6270.6774789284518</v>
      </c>
      <c r="AE15" s="164">
        <v>11542</v>
      </c>
      <c r="AF15" s="129">
        <v>11542</v>
      </c>
      <c r="AG15" s="129">
        <v>72376159.461792186</v>
      </c>
      <c r="AH15" s="165">
        <v>72376159.461792186</v>
      </c>
    </row>
    <row r="16" spans="2:34" hidden="1" x14ac:dyDescent="0.35">
      <c r="B16" s="180" t="s">
        <v>43</v>
      </c>
      <c r="C16" s="138" t="s">
        <v>74</v>
      </c>
      <c r="D16" s="22" t="s">
        <v>75</v>
      </c>
      <c r="E16" s="22" t="s">
        <v>81</v>
      </c>
      <c r="F16" s="22" t="s">
        <v>25</v>
      </c>
      <c r="G16" s="22" t="s">
        <v>82</v>
      </c>
      <c r="H16" s="22" t="s">
        <v>347</v>
      </c>
      <c r="I16" s="22" t="s">
        <v>28</v>
      </c>
      <c r="J16" s="125">
        <v>0</v>
      </c>
      <c r="K16" s="125">
        <v>723.09588600000006</v>
      </c>
      <c r="L16" s="125">
        <v>9012.6541959999995</v>
      </c>
      <c r="M16" s="125">
        <v>10749.410552999998</v>
      </c>
      <c r="N16" s="125">
        <v>9178.3413920000003</v>
      </c>
      <c r="O16" s="125">
        <v>8.9600000000000009</v>
      </c>
      <c r="P16" s="126">
        <v>45506</v>
      </c>
      <c r="Q16" s="22" t="s">
        <v>83</v>
      </c>
      <c r="R16" s="22">
        <v>24</v>
      </c>
      <c r="S16" s="22" t="s">
        <v>30</v>
      </c>
      <c r="T16" s="22" t="s">
        <v>31</v>
      </c>
      <c r="U16" s="128">
        <v>6478.9391385600011</v>
      </c>
      <c r="V16" s="128">
        <v>80753.381596160005</v>
      </c>
      <c r="W16" s="128">
        <v>96314.71855487999</v>
      </c>
      <c r="X16" s="127">
        <v>1</v>
      </c>
      <c r="Y16" s="127">
        <v>1</v>
      </c>
      <c r="Z16" s="128">
        <v>6478.9391385600011</v>
      </c>
      <c r="AA16" s="128">
        <v>80753.381596160005</v>
      </c>
      <c r="AB16" s="127">
        <v>0.25</v>
      </c>
      <c r="AC16" s="127">
        <v>0.75</v>
      </c>
      <c r="AD16" s="160">
        <v>62184.770981760004</v>
      </c>
      <c r="AE16" s="164">
        <v>11542</v>
      </c>
      <c r="AF16" s="129">
        <v>11542</v>
      </c>
      <c r="AG16" s="129">
        <v>717736626.67147398</v>
      </c>
      <c r="AH16" s="165">
        <v>717736626.67147398</v>
      </c>
    </row>
    <row r="17" spans="2:34" hidden="1" x14ac:dyDescent="0.35">
      <c r="B17" s="180" t="s">
        <v>43</v>
      </c>
      <c r="C17" s="138" t="s">
        <v>74</v>
      </c>
      <c r="D17" s="22" t="s">
        <v>43</v>
      </c>
      <c r="E17" s="22" t="s">
        <v>24</v>
      </c>
      <c r="F17" s="22" t="s">
        <v>25</v>
      </c>
      <c r="G17" s="22" t="s">
        <v>92</v>
      </c>
      <c r="H17" s="22" t="s">
        <v>93</v>
      </c>
      <c r="I17" s="22" t="s">
        <v>28</v>
      </c>
      <c r="J17" s="125">
        <v>496.76847699999996</v>
      </c>
      <c r="K17" s="125">
        <v>506.61750000000006</v>
      </c>
      <c r="L17" s="125">
        <v>391.17061200000006</v>
      </c>
      <c r="M17" s="125">
        <v>447.621714</v>
      </c>
      <c r="N17" s="125">
        <v>347.56141899999994</v>
      </c>
      <c r="O17" s="125">
        <v>8.942997879</v>
      </c>
      <c r="P17" s="126">
        <v>43101</v>
      </c>
      <c r="Q17" s="22" t="s">
        <v>94</v>
      </c>
      <c r="R17" s="22" t="s">
        <v>41</v>
      </c>
      <c r="S17" s="22" t="s">
        <v>57</v>
      </c>
      <c r="T17" s="22" t="s">
        <v>47</v>
      </c>
      <c r="U17" s="128">
        <v>4530.6792279642832</v>
      </c>
      <c r="V17" s="128">
        <v>3498.2379534431325</v>
      </c>
      <c r="W17" s="128">
        <v>4003.0800388963444</v>
      </c>
      <c r="X17" s="127">
        <v>0.3</v>
      </c>
      <c r="Y17" s="127">
        <v>0.3</v>
      </c>
      <c r="Z17" s="128">
        <v>1359.203768389285</v>
      </c>
      <c r="AA17" s="128">
        <v>1049.4713860329398</v>
      </c>
      <c r="AB17" s="127">
        <v>0.65</v>
      </c>
      <c r="AC17" s="127">
        <v>0.35</v>
      </c>
      <c r="AD17" s="160">
        <v>1250.7974345645641</v>
      </c>
      <c r="AE17" s="164">
        <v>11542</v>
      </c>
      <c r="AF17" s="129">
        <v>11542</v>
      </c>
      <c r="AG17" s="129">
        <v>14436703.989744199</v>
      </c>
      <c r="AH17" s="165">
        <v>14436703.989744199</v>
      </c>
    </row>
    <row r="18" spans="2:34" hidden="1" x14ac:dyDescent="0.35">
      <c r="B18" s="180" t="s">
        <v>43</v>
      </c>
      <c r="C18" s="138" t="s">
        <v>74</v>
      </c>
      <c r="D18" s="22" t="s">
        <v>43</v>
      </c>
      <c r="E18" s="22" t="s">
        <v>44</v>
      </c>
      <c r="F18" s="22" t="s">
        <v>25</v>
      </c>
      <c r="G18" s="22" t="s">
        <v>95</v>
      </c>
      <c r="H18" s="22" t="s">
        <v>96</v>
      </c>
      <c r="I18" s="22" t="s">
        <v>28</v>
      </c>
      <c r="J18" s="125">
        <v>884.72981499999992</v>
      </c>
      <c r="K18" s="125">
        <v>814.59306000000004</v>
      </c>
      <c r="L18" s="125">
        <v>703.84703600000012</v>
      </c>
      <c r="M18" s="125">
        <v>556.12741900000003</v>
      </c>
      <c r="N18" s="125">
        <v>430.459361</v>
      </c>
      <c r="O18" s="125">
        <v>8.6316681899999992</v>
      </c>
      <c r="P18" s="126">
        <v>43101</v>
      </c>
      <c r="Q18" s="22" t="s">
        <v>94</v>
      </c>
      <c r="R18" s="22" t="s">
        <v>41</v>
      </c>
      <c r="S18" s="22" t="s">
        <v>57</v>
      </c>
      <c r="T18" s="22" t="s">
        <v>47</v>
      </c>
      <c r="U18" s="128">
        <v>7031.2970037967607</v>
      </c>
      <c r="V18" s="128">
        <v>6075.3740712669851</v>
      </c>
      <c r="W18" s="128">
        <v>4800.3073521691013</v>
      </c>
      <c r="X18" s="127">
        <v>0.3</v>
      </c>
      <c r="Y18" s="127">
        <v>0.3</v>
      </c>
      <c r="Z18" s="128">
        <v>2109.3891011390283</v>
      </c>
      <c r="AA18" s="128">
        <v>1822.6122213800954</v>
      </c>
      <c r="AB18" s="127">
        <v>0.65</v>
      </c>
      <c r="AC18" s="127">
        <v>0.35</v>
      </c>
      <c r="AD18" s="160">
        <v>2009.0171932234018</v>
      </c>
      <c r="AE18" s="164">
        <v>11542</v>
      </c>
      <c r="AF18" s="129">
        <v>11542</v>
      </c>
      <c r="AG18" s="129">
        <v>23188076.444184504</v>
      </c>
      <c r="AH18" s="165">
        <v>23188076.444184504</v>
      </c>
    </row>
    <row r="19" spans="2:34" hidden="1" x14ac:dyDescent="0.35">
      <c r="B19" s="180" t="s">
        <v>43</v>
      </c>
      <c r="C19" s="138" t="s">
        <v>74</v>
      </c>
      <c r="D19" s="22" t="s">
        <v>43</v>
      </c>
      <c r="E19" s="22" t="s">
        <v>81</v>
      </c>
      <c r="F19" s="22" t="s">
        <v>90</v>
      </c>
      <c r="G19" s="22" t="s">
        <v>97</v>
      </c>
      <c r="H19" s="22" t="s">
        <v>347</v>
      </c>
      <c r="I19" s="22" t="s">
        <v>28</v>
      </c>
      <c r="J19" s="125">
        <v>953.86110999999994</v>
      </c>
      <c r="K19" s="125">
        <v>958.17548899999997</v>
      </c>
      <c r="L19" s="125">
        <v>959.35367600000006</v>
      </c>
      <c r="M19" s="125">
        <v>959.74836199999982</v>
      </c>
      <c r="N19" s="125">
        <v>959.89793799999984</v>
      </c>
      <c r="O19" s="125">
        <v>7.3</v>
      </c>
      <c r="P19" s="126">
        <v>42887</v>
      </c>
      <c r="Q19" s="22" t="s">
        <v>83</v>
      </c>
      <c r="R19" s="22" t="s">
        <v>41</v>
      </c>
      <c r="S19" s="22" t="s">
        <v>57</v>
      </c>
      <c r="T19" s="22" t="s">
        <v>98</v>
      </c>
      <c r="U19" s="128">
        <v>6994.6810696999992</v>
      </c>
      <c r="V19" s="128">
        <v>7003.2818348000001</v>
      </c>
      <c r="W19" s="128">
        <v>7006.1630425999983</v>
      </c>
      <c r="X19" s="127">
        <v>0.15</v>
      </c>
      <c r="Y19" s="127">
        <v>0.15</v>
      </c>
      <c r="Z19" s="128">
        <v>1049.2021604549998</v>
      </c>
      <c r="AA19" s="128">
        <v>1050.49227522</v>
      </c>
      <c r="AB19" s="127">
        <v>0.65</v>
      </c>
      <c r="AC19" s="127">
        <v>0.35</v>
      </c>
      <c r="AD19" s="160">
        <v>1049.65370062275</v>
      </c>
      <c r="AE19" s="164">
        <v>11542</v>
      </c>
      <c r="AF19" s="129">
        <v>11542</v>
      </c>
      <c r="AG19" s="129">
        <v>12115103.01258778</v>
      </c>
      <c r="AH19" s="165">
        <v>12115103.01258778</v>
      </c>
    </row>
    <row r="20" spans="2:34" hidden="1" x14ac:dyDescent="0.35">
      <c r="B20" s="180" t="s">
        <v>43</v>
      </c>
      <c r="C20" s="138" t="s">
        <v>99</v>
      </c>
      <c r="D20" s="22" t="s">
        <v>100</v>
      </c>
      <c r="E20" s="22" t="s">
        <v>35</v>
      </c>
      <c r="F20" s="22" t="s">
        <v>25</v>
      </c>
      <c r="G20" s="22" t="s">
        <v>101</v>
      </c>
      <c r="H20" s="22" t="s">
        <v>102</v>
      </c>
      <c r="I20" s="22" t="s">
        <v>28</v>
      </c>
      <c r="J20" s="125">
        <v>0</v>
      </c>
      <c r="K20" s="125">
        <v>0</v>
      </c>
      <c r="L20" s="125">
        <v>0</v>
      </c>
      <c r="M20" s="125">
        <v>80.529252</v>
      </c>
      <c r="N20" s="125">
        <v>537.49952599999995</v>
      </c>
      <c r="O20" s="125">
        <v>8.9600000000000009</v>
      </c>
      <c r="P20" s="126">
        <v>46236</v>
      </c>
      <c r="Q20" s="22"/>
      <c r="R20" s="22" t="s">
        <v>103</v>
      </c>
      <c r="S20" s="22" t="s">
        <v>104</v>
      </c>
      <c r="T20" s="22" t="s">
        <v>72</v>
      </c>
      <c r="U20" s="128">
        <v>0</v>
      </c>
      <c r="V20" s="128">
        <v>0</v>
      </c>
      <c r="W20" s="128">
        <v>721.54209792000006</v>
      </c>
      <c r="X20" s="127" t="s">
        <v>72</v>
      </c>
      <c r="Y20" s="127" t="s">
        <v>72</v>
      </c>
      <c r="Z20" s="128" t="s">
        <v>32</v>
      </c>
      <c r="AA20" s="128" t="s">
        <v>32</v>
      </c>
      <c r="AB20" s="127" t="s">
        <v>72</v>
      </c>
      <c r="AC20" s="127" t="s">
        <v>72</v>
      </c>
      <c r="AD20" s="160">
        <v>0</v>
      </c>
      <c r="AE20" s="164">
        <v>11542</v>
      </c>
      <c r="AF20" s="129">
        <v>11542</v>
      </c>
      <c r="AG20" s="129">
        <v>0</v>
      </c>
      <c r="AH20" s="165">
        <v>0</v>
      </c>
    </row>
    <row r="21" spans="2:34" hidden="1" x14ac:dyDescent="0.35">
      <c r="B21" s="180" t="s">
        <v>43</v>
      </c>
      <c r="C21" s="138" t="s">
        <v>99</v>
      </c>
      <c r="D21" s="22" t="s">
        <v>43</v>
      </c>
      <c r="E21" s="22" t="s">
        <v>24</v>
      </c>
      <c r="F21" s="22" t="s">
        <v>25</v>
      </c>
      <c r="G21" s="22" t="s">
        <v>107</v>
      </c>
      <c r="H21" s="22" t="s">
        <v>108</v>
      </c>
      <c r="I21" s="22" t="s">
        <v>28</v>
      </c>
      <c r="J21" s="125">
        <v>1996.5779560000001</v>
      </c>
      <c r="K21" s="125">
        <v>2190.608279</v>
      </c>
      <c r="L21" s="125">
        <v>2195.1792659999996</v>
      </c>
      <c r="M21" s="125">
        <v>2052.4788839999997</v>
      </c>
      <c r="N21" s="125">
        <v>1793.5360640000001</v>
      </c>
      <c r="O21" s="125">
        <v>6.2492398549999999</v>
      </c>
      <c r="P21" s="126">
        <v>44256</v>
      </c>
      <c r="Q21" s="22"/>
      <c r="R21" s="22" t="s">
        <v>41</v>
      </c>
      <c r="S21" s="22" t="s">
        <v>42</v>
      </c>
      <c r="T21" s="22" t="s">
        <v>42</v>
      </c>
      <c r="U21" s="128">
        <v>13689.63656381976</v>
      </c>
      <c r="V21" s="128">
        <v>13718.201757956844</v>
      </c>
      <c r="W21" s="128">
        <v>12826.432843438719</v>
      </c>
      <c r="X21" s="127">
        <v>0.8</v>
      </c>
      <c r="Y21" s="127">
        <v>0.6</v>
      </c>
      <c r="Z21" s="128">
        <v>10951.709251055809</v>
      </c>
      <c r="AA21" s="128">
        <v>8230.9210547741059</v>
      </c>
      <c r="AB21" s="127">
        <v>0.65</v>
      </c>
      <c r="AC21" s="127">
        <v>0.35</v>
      </c>
      <c r="AD21" s="160">
        <v>9999.4333823572124</v>
      </c>
      <c r="AE21" s="164">
        <v>11542</v>
      </c>
      <c r="AF21" s="129">
        <v>11542</v>
      </c>
      <c r="AG21" s="129">
        <v>115413460.09916694</v>
      </c>
      <c r="AH21" s="165">
        <v>115413460.09916694</v>
      </c>
    </row>
    <row r="22" spans="2:34" hidden="1" x14ac:dyDescent="0.35">
      <c r="B22" s="180" t="s">
        <v>43</v>
      </c>
      <c r="C22" s="138" t="s">
        <v>99</v>
      </c>
      <c r="D22" s="22" t="s">
        <v>43</v>
      </c>
      <c r="E22" s="22">
        <v>1</v>
      </c>
      <c r="F22" s="22" t="s">
        <v>25</v>
      </c>
      <c r="G22" s="22" t="s">
        <v>107</v>
      </c>
      <c r="H22" s="22" t="s">
        <v>108</v>
      </c>
      <c r="I22" s="22" t="s">
        <v>28</v>
      </c>
      <c r="J22" s="125">
        <v>710.4341750000001</v>
      </c>
      <c r="K22" s="125">
        <v>555.94685699999991</v>
      </c>
      <c r="L22" s="125">
        <v>552.92009600000006</v>
      </c>
      <c r="M22" s="125">
        <v>515.02468699999997</v>
      </c>
      <c r="N22" s="125">
        <v>447.996647</v>
      </c>
      <c r="O22" s="125">
        <v>6.2492398549999999</v>
      </c>
      <c r="P22" s="126">
        <v>44256</v>
      </c>
      <c r="Q22" s="22"/>
      <c r="R22" s="22" t="s">
        <v>41</v>
      </c>
      <c r="S22" s="22" t="s">
        <v>42</v>
      </c>
      <c r="T22" s="22" t="s">
        <v>42</v>
      </c>
      <c r="U22" s="128">
        <v>3474.2452560263851</v>
      </c>
      <c r="V22" s="128">
        <v>3455.3303005536263</v>
      </c>
      <c r="W22" s="128">
        <v>3218.5128003093</v>
      </c>
      <c r="X22" s="127">
        <v>0.8</v>
      </c>
      <c r="Y22" s="127">
        <v>0.6</v>
      </c>
      <c r="Z22" s="128">
        <v>2779.3962048211083</v>
      </c>
      <c r="AA22" s="128">
        <v>2073.1981803321755</v>
      </c>
      <c r="AB22" s="127">
        <v>0.65</v>
      </c>
      <c r="AC22" s="127">
        <v>0.35</v>
      </c>
      <c r="AD22" s="160">
        <v>2532.226896249982</v>
      </c>
      <c r="AE22" s="164">
        <v>11542</v>
      </c>
      <c r="AF22" s="129">
        <v>11542</v>
      </c>
      <c r="AG22" s="129">
        <v>29226962.836517293</v>
      </c>
      <c r="AH22" s="165">
        <v>29226962.836517293</v>
      </c>
    </row>
    <row r="23" spans="2:34" hidden="1" x14ac:dyDescent="0.35">
      <c r="B23" s="180" t="s">
        <v>43</v>
      </c>
      <c r="C23" s="138" t="s">
        <v>99</v>
      </c>
      <c r="D23" s="22" t="s">
        <v>43</v>
      </c>
      <c r="E23" s="22" t="s">
        <v>44</v>
      </c>
      <c r="F23" s="22" t="s">
        <v>25</v>
      </c>
      <c r="G23" s="22" t="s">
        <v>109</v>
      </c>
      <c r="H23" s="22" t="s">
        <v>110</v>
      </c>
      <c r="I23" s="22" t="s">
        <v>28</v>
      </c>
      <c r="J23" s="125">
        <v>1280.619432</v>
      </c>
      <c r="K23" s="125">
        <v>1201.8628630000001</v>
      </c>
      <c r="L23" s="125">
        <v>1225.4217800000001</v>
      </c>
      <c r="M23" s="125">
        <v>1123.8389529999999</v>
      </c>
      <c r="N23" s="125">
        <v>915.99363799999992</v>
      </c>
      <c r="O23" s="125">
        <v>5.1489971769999903</v>
      </c>
      <c r="P23" s="126">
        <v>43678</v>
      </c>
      <c r="Q23" s="22" t="s">
        <v>111</v>
      </c>
      <c r="R23" s="22" t="s">
        <v>41</v>
      </c>
      <c r="S23" s="22" t="s">
        <v>47</v>
      </c>
      <c r="T23" s="22" t="s">
        <v>47</v>
      </c>
      <c r="U23" s="128">
        <v>6188.3884887281265</v>
      </c>
      <c r="V23" s="128">
        <v>6309.6932858543041</v>
      </c>
      <c r="W23" s="128">
        <v>5786.6435963996246</v>
      </c>
      <c r="X23" s="127">
        <v>0.8</v>
      </c>
      <c r="Y23" s="127">
        <v>0.6</v>
      </c>
      <c r="Z23" s="128">
        <v>4950.7107909825017</v>
      </c>
      <c r="AA23" s="128">
        <v>3785.8159715125821</v>
      </c>
      <c r="AB23" s="127">
        <v>0.65</v>
      </c>
      <c r="AC23" s="127">
        <v>0.35</v>
      </c>
      <c r="AD23" s="160">
        <v>4542.9976041680302</v>
      </c>
      <c r="AE23" s="164">
        <v>11542</v>
      </c>
      <c r="AF23" s="129">
        <v>11542</v>
      </c>
      <c r="AG23" s="129">
        <v>52435278.347307406</v>
      </c>
      <c r="AH23" s="165">
        <v>52435278.347307406</v>
      </c>
    </row>
    <row r="24" spans="2:34" hidden="1" x14ac:dyDescent="0.35">
      <c r="B24" s="180" t="s">
        <v>43</v>
      </c>
      <c r="C24" s="138" t="s">
        <v>99</v>
      </c>
      <c r="D24" s="22" t="s">
        <v>43</v>
      </c>
      <c r="E24" s="22" t="s">
        <v>112</v>
      </c>
      <c r="F24" s="22" t="s">
        <v>90</v>
      </c>
      <c r="G24" s="22" t="s">
        <v>113</v>
      </c>
      <c r="H24" s="22" t="s">
        <v>110</v>
      </c>
      <c r="I24" s="22" t="s">
        <v>28</v>
      </c>
      <c r="J24" s="125">
        <v>119.98701500000001</v>
      </c>
      <c r="K24" s="125">
        <v>119.99632199999999</v>
      </c>
      <c r="L24" s="125">
        <v>119.998886</v>
      </c>
      <c r="M24" s="125">
        <v>119.999658</v>
      </c>
      <c r="N24" s="125">
        <v>119.999893</v>
      </c>
      <c r="O24" s="125">
        <v>6</v>
      </c>
      <c r="P24" s="126">
        <v>44256</v>
      </c>
      <c r="Q24" s="22" t="s">
        <v>114</v>
      </c>
      <c r="R24" s="22" t="s">
        <v>41</v>
      </c>
      <c r="S24" s="22" t="s">
        <v>42</v>
      </c>
      <c r="T24" s="22" t="s">
        <v>42</v>
      </c>
      <c r="U24" s="128">
        <v>719.97793200000001</v>
      </c>
      <c r="V24" s="128">
        <v>719.99331600000005</v>
      </c>
      <c r="W24" s="128">
        <v>719.99794799999995</v>
      </c>
      <c r="X24" s="127">
        <v>0.8</v>
      </c>
      <c r="Y24" s="127">
        <v>0.6</v>
      </c>
      <c r="Z24" s="128">
        <v>575.98234560000003</v>
      </c>
      <c r="AA24" s="128">
        <v>431.99598960000003</v>
      </c>
      <c r="AB24" s="127">
        <v>0.65</v>
      </c>
      <c r="AC24" s="127">
        <v>0.35</v>
      </c>
      <c r="AD24" s="160">
        <v>525.58712100000002</v>
      </c>
      <c r="AE24" s="164">
        <v>11542</v>
      </c>
      <c r="AF24" s="129">
        <v>11542</v>
      </c>
      <c r="AG24" s="129">
        <v>6066326.5505820001</v>
      </c>
      <c r="AH24" s="165">
        <v>6066326.5505820001</v>
      </c>
    </row>
    <row r="25" spans="2:34" hidden="1" x14ac:dyDescent="0.35">
      <c r="B25" s="180" t="s">
        <v>43</v>
      </c>
      <c r="C25" s="138" t="s">
        <v>115</v>
      </c>
      <c r="D25" s="22" t="s">
        <v>120</v>
      </c>
      <c r="E25" s="22" t="s">
        <v>24</v>
      </c>
      <c r="F25" s="22" t="s">
        <v>25</v>
      </c>
      <c r="G25" s="22" t="s">
        <v>121</v>
      </c>
      <c r="H25" s="22" t="s">
        <v>122</v>
      </c>
      <c r="I25" s="22" t="s">
        <v>28</v>
      </c>
      <c r="J25" s="125">
        <v>0</v>
      </c>
      <c r="K25" s="125">
        <v>685.1541830000001</v>
      </c>
      <c r="L25" s="125">
        <v>534.26328399999989</v>
      </c>
      <c r="M25" s="125">
        <v>386.82190100000008</v>
      </c>
      <c r="N25" s="125">
        <v>343.56576900000005</v>
      </c>
      <c r="O25" s="125">
        <v>5.4900343679999999</v>
      </c>
      <c r="P25" s="126">
        <v>45293</v>
      </c>
      <c r="Q25" s="22" t="s">
        <v>123</v>
      </c>
      <c r="R25" s="22">
        <v>24</v>
      </c>
      <c r="S25" s="22" t="s">
        <v>30</v>
      </c>
      <c r="T25" s="22" t="s">
        <v>31</v>
      </c>
      <c r="U25" s="128">
        <v>3761.5200120489617</v>
      </c>
      <c r="V25" s="128">
        <v>2933.1237907205436</v>
      </c>
      <c r="W25" s="128">
        <v>2123.6655307850938</v>
      </c>
      <c r="X25" s="127">
        <v>1</v>
      </c>
      <c r="Y25" s="127">
        <v>1</v>
      </c>
      <c r="Z25" s="128">
        <v>3761.5200120489617</v>
      </c>
      <c r="AA25" s="128">
        <v>2933.1237907205436</v>
      </c>
      <c r="AB25" s="127">
        <v>0.6</v>
      </c>
      <c r="AC25" s="127">
        <v>0.4</v>
      </c>
      <c r="AD25" s="160">
        <v>3430.1615235175941</v>
      </c>
      <c r="AE25" s="164">
        <v>11542</v>
      </c>
      <c r="AF25" s="129">
        <v>11542</v>
      </c>
      <c r="AG25" s="129">
        <v>39590924.304440074</v>
      </c>
      <c r="AH25" s="165">
        <v>39590924.304440074</v>
      </c>
    </row>
    <row r="26" spans="2:34" hidden="1" x14ac:dyDescent="0.35">
      <c r="B26" s="180" t="s">
        <v>43</v>
      </c>
      <c r="C26" s="138" t="s">
        <v>115</v>
      </c>
      <c r="D26" s="22" t="s">
        <v>120</v>
      </c>
      <c r="E26" s="22" t="s">
        <v>24</v>
      </c>
      <c r="F26" s="22" t="s">
        <v>25</v>
      </c>
      <c r="G26" s="22" t="s">
        <v>121</v>
      </c>
      <c r="H26" s="22" t="s">
        <v>124</v>
      </c>
      <c r="I26" s="22" t="s">
        <v>28</v>
      </c>
      <c r="J26" s="125">
        <v>581.44313000000011</v>
      </c>
      <c r="K26" s="125">
        <v>618.59529299999997</v>
      </c>
      <c r="L26" s="125">
        <v>620.93991400000004</v>
      </c>
      <c r="M26" s="125">
        <v>490.733363</v>
      </c>
      <c r="N26" s="125">
        <v>391.193174</v>
      </c>
      <c r="O26" s="125">
        <v>6.9773486560000002</v>
      </c>
      <c r="P26" s="126">
        <v>43800</v>
      </c>
      <c r="Q26" s="22" t="s">
        <v>123</v>
      </c>
      <c r="R26" s="22" t="s">
        <v>41</v>
      </c>
      <c r="S26" s="22" t="s">
        <v>47</v>
      </c>
      <c r="T26" s="22" t="s">
        <v>47</v>
      </c>
      <c r="U26" s="128">
        <v>4316.1550362214757</v>
      </c>
      <c r="V26" s="128">
        <v>4332.5142744046561</v>
      </c>
      <c r="W26" s="128">
        <v>3424.01777078241</v>
      </c>
      <c r="X26" s="127">
        <v>0.3</v>
      </c>
      <c r="Y26" s="127">
        <v>0.3</v>
      </c>
      <c r="Z26" s="128">
        <v>1294.8465108664427</v>
      </c>
      <c r="AA26" s="128">
        <v>1299.7542823213969</v>
      </c>
      <c r="AB26" s="127">
        <v>0.65</v>
      </c>
      <c r="AC26" s="127">
        <v>0.35</v>
      </c>
      <c r="AD26" s="160">
        <v>1296.5642308756767</v>
      </c>
      <c r="AE26" s="164">
        <v>11542</v>
      </c>
      <c r="AF26" s="129">
        <v>11542</v>
      </c>
      <c r="AG26" s="129">
        <v>14964944.35276706</v>
      </c>
      <c r="AH26" s="165">
        <v>14964944.35276706</v>
      </c>
    </row>
    <row r="27" spans="2:34" hidden="1" x14ac:dyDescent="0.35">
      <c r="B27" s="180" t="s">
        <v>43</v>
      </c>
      <c r="C27" s="138" t="s">
        <v>115</v>
      </c>
      <c r="D27" s="22" t="s">
        <v>120</v>
      </c>
      <c r="E27" s="22">
        <v>2</v>
      </c>
      <c r="F27" s="22" t="s">
        <v>25</v>
      </c>
      <c r="G27" s="22" t="s">
        <v>125</v>
      </c>
      <c r="H27" s="22" t="s">
        <v>126</v>
      </c>
      <c r="I27" s="22" t="s">
        <v>28</v>
      </c>
      <c r="J27" s="125">
        <v>375.55968100000001</v>
      </c>
      <c r="K27" s="125">
        <v>301.89705700000002</v>
      </c>
      <c r="L27" s="125">
        <v>301.01810900000004</v>
      </c>
      <c r="M27" s="125">
        <v>281.03421700000001</v>
      </c>
      <c r="N27" s="125">
        <v>245.15666099999999</v>
      </c>
      <c r="O27" s="125">
        <v>4.8495757869999903</v>
      </c>
      <c r="P27" s="126">
        <v>43800</v>
      </c>
      <c r="Q27" s="22"/>
      <c r="R27" s="22" t="s">
        <v>41</v>
      </c>
      <c r="S27" s="22" t="s">
        <v>47</v>
      </c>
      <c r="T27" s="22" t="s">
        <v>47</v>
      </c>
      <c r="U27" s="128">
        <v>1464.072657793756</v>
      </c>
      <c r="V27" s="128">
        <v>1459.8101328549239</v>
      </c>
      <c r="W27" s="128">
        <v>1362.8967340817012</v>
      </c>
      <c r="X27" s="127">
        <v>0.3</v>
      </c>
      <c r="Y27" s="127">
        <v>0.3</v>
      </c>
      <c r="Z27" s="128">
        <v>439.22179733812681</v>
      </c>
      <c r="AA27" s="128">
        <v>437.94303985647718</v>
      </c>
      <c r="AB27" s="127">
        <v>0.65</v>
      </c>
      <c r="AC27" s="127">
        <v>0.35</v>
      </c>
      <c r="AD27" s="160">
        <v>438.77423221954945</v>
      </c>
      <c r="AE27" s="164">
        <v>11542</v>
      </c>
      <c r="AF27" s="129">
        <v>11542</v>
      </c>
      <c r="AG27" s="129">
        <v>5064332.1882780399</v>
      </c>
      <c r="AH27" s="165">
        <v>5064332.1882780399</v>
      </c>
    </row>
    <row r="28" spans="2:34" hidden="1" x14ac:dyDescent="0.35">
      <c r="B28" s="180" t="s">
        <v>43</v>
      </c>
      <c r="C28" s="138" t="s">
        <v>115</v>
      </c>
      <c r="D28" s="22" t="s">
        <v>120</v>
      </c>
      <c r="E28" s="22">
        <v>2</v>
      </c>
      <c r="F28" s="22" t="s">
        <v>25</v>
      </c>
      <c r="G28" s="22" t="s">
        <v>125</v>
      </c>
      <c r="H28" s="22" t="s">
        <v>126</v>
      </c>
      <c r="I28" s="22" t="s">
        <v>28</v>
      </c>
      <c r="J28" s="125">
        <v>67.704634999999996</v>
      </c>
      <c r="K28" s="125">
        <v>58.840919000000007</v>
      </c>
      <c r="L28" s="125">
        <v>58.606888999999995</v>
      </c>
      <c r="M28" s="125">
        <v>54.714968999999996</v>
      </c>
      <c r="N28" s="125">
        <v>47.729883000000001</v>
      </c>
      <c r="O28" s="125">
        <v>5.1480895719999999</v>
      </c>
      <c r="P28" s="126">
        <v>43132</v>
      </c>
      <c r="Q28" s="22"/>
      <c r="R28" s="22" t="s">
        <v>41</v>
      </c>
      <c r="S28" s="22" t="s">
        <v>47</v>
      </c>
      <c r="T28" s="22" t="s">
        <v>47</v>
      </c>
      <c r="U28" s="128">
        <v>302.91832151079672</v>
      </c>
      <c r="V28" s="128">
        <v>301.71351410826151</v>
      </c>
      <c r="W28" s="128">
        <v>281.67756134120327</v>
      </c>
      <c r="X28" s="127">
        <v>0.3</v>
      </c>
      <c r="Y28" s="127">
        <v>0.3</v>
      </c>
      <c r="Z28" s="128">
        <v>90.875496453239009</v>
      </c>
      <c r="AA28" s="128">
        <v>90.514054232478443</v>
      </c>
      <c r="AB28" s="127">
        <v>0.65</v>
      </c>
      <c r="AC28" s="127">
        <v>0.35</v>
      </c>
      <c r="AD28" s="160">
        <v>90.748991675972817</v>
      </c>
      <c r="AE28" s="164">
        <v>11542</v>
      </c>
      <c r="AF28" s="129">
        <v>11542</v>
      </c>
      <c r="AG28" s="129">
        <v>1047424.8619240783</v>
      </c>
      <c r="AH28" s="165">
        <v>1047424.8619240783</v>
      </c>
    </row>
    <row r="29" spans="2:34" hidden="1" x14ac:dyDescent="0.35">
      <c r="B29" s="180" t="s">
        <v>43</v>
      </c>
      <c r="C29" s="138" t="s">
        <v>127</v>
      </c>
      <c r="D29" s="22" t="s">
        <v>43</v>
      </c>
      <c r="E29" s="22" t="s">
        <v>44</v>
      </c>
      <c r="F29" s="22" t="s">
        <v>25</v>
      </c>
      <c r="G29" s="22" t="s">
        <v>132</v>
      </c>
      <c r="H29" s="22" t="s">
        <v>133</v>
      </c>
      <c r="I29" s="22" t="s">
        <v>28</v>
      </c>
      <c r="J29" s="125">
        <v>90.683582999999985</v>
      </c>
      <c r="K29" s="125">
        <v>51.572514999999996</v>
      </c>
      <c r="L29" s="125">
        <v>47.682999000000002</v>
      </c>
      <c r="M29" s="125">
        <v>44.260586000000011</v>
      </c>
      <c r="N29" s="125">
        <v>38.580750999999992</v>
      </c>
      <c r="O29" s="125">
        <v>5.5501599939999897</v>
      </c>
      <c r="P29" s="126">
        <v>43101</v>
      </c>
      <c r="Q29" s="22" t="s">
        <v>134</v>
      </c>
      <c r="R29" s="22" t="s">
        <v>41</v>
      </c>
      <c r="S29" s="22" t="s">
        <v>57</v>
      </c>
      <c r="T29" s="22" t="s">
        <v>47</v>
      </c>
      <c r="U29" s="128">
        <v>286.23570954296434</v>
      </c>
      <c r="V29" s="128">
        <v>264.64827344374152</v>
      </c>
      <c r="W29" s="128">
        <v>245.65333372819609</v>
      </c>
      <c r="X29" s="127">
        <v>0.3</v>
      </c>
      <c r="Y29" s="127">
        <v>0.3</v>
      </c>
      <c r="Z29" s="128">
        <v>85.870712862889306</v>
      </c>
      <c r="AA29" s="128">
        <v>79.394482033122458</v>
      </c>
      <c r="AB29" s="127">
        <v>0.65</v>
      </c>
      <c r="AC29" s="127">
        <v>0.35</v>
      </c>
      <c r="AD29" s="160">
        <v>83.604032072470915</v>
      </c>
      <c r="AE29" s="164">
        <v>11542</v>
      </c>
      <c r="AF29" s="129">
        <v>11542</v>
      </c>
      <c r="AG29" s="129">
        <v>964957.73818045924</v>
      </c>
      <c r="AH29" s="165">
        <v>964957.73818045924</v>
      </c>
    </row>
    <row r="30" spans="2:34" hidden="1" x14ac:dyDescent="0.35">
      <c r="B30" s="180" t="s">
        <v>43</v>
      </c>
      <c r="C30" s="138" t="s">
        <v>127</v>
      </c>
      <c r="D30" s="22" t="s">
        <v>43</v>
      </c>
      <c r="E30" s="22" t="s">
        <v>81</v>
      </c>
      <c r="F30" s="22" t="s">
        <v>25</v>
      </c>
      <c r="G30" s="22" t="s">
        <v>135</v>
      </c>
      <c r="H30" s="22" t="s">
        <v>136</v>
      </c>
      <c r="I30" s="22" t="s">
        <v>28</v>
      </c>
      <c r="J30" s="125">
        <v>0</v>
      </c>
      <c r="K30" s="125">
        <v>0</v>
      </c>
      <c r="L30" s="125">
        <v>107.44359</v>
      </c>
      <c r="M30" s="125">
        <v>454.782667</v>
      </c>
      <c r="N30" s="125">
        <v>449.911924</v>
      </c>
      <c r="O30" s="125">
        <v>9</v>
      </c>
      <c r="P30" s="126">
        <v>45840</v>
      </c>
      <c r="Q30" s="22" t="s">
        <v>137</v>
      </c>
      <c r="R30" s="22">
        <v>25</v>
      </c>
      <c r="S30" s="22" t="s">
        <v>104</v>
      </c>
      <c r="T30" s="22" t="s">
        <v>73</v>
      </c>
      <c r="U30" s="128">
        <v>0</v>
      </c>
      <c r="V30" s="128">
        <v>966.99230999999997</v>
      </c>
      <c r="W30" s="128">
        <v>4093.044003</v>
      </c>
      <c r="X30" s="127">
        <v>1</v>
      </c>
      <c r="Y30" s="127">
        <v>1</v>
      </c>
      <c r="Z30" s="128">
        <v>0</v>
      </c>
      <c r="AA30" s="128">
        <v>966.99230999999997</v>
      </c>
      <c r="AB30" s="127">
        <v>0</v>
      </c>
      <c r="AC30" s="127">
        <v>0.7</v>
      </c>
      <c r="AD30" s="160">
        <v>676.89461699999993</v>
      </c>
      <c r="AE30" s="164">
        <v>11542</v>
      </c>
      <c r="AF30" s="129">
        <v>11542</v>
      </c>
      <c r="AG30" s="129">
        <v>7812717.6694139987</v>
      </c>
      <c r="AH30" s="165">
        <v>7812717.6694139987</v>
      </c>
    </row>
    <row r="31" spans="2:34" hidden="1" x14ac:dyDescent="0.35">
      <c r="B31" s="180" t="s">
        <v>43</v>
      </c>
      <c r="C31" s="138" t="s">
        <v>141</v>
      </c>
      <c r="D31" s="22" t="s">
        <v>120</v>
      </c>
      <c r="E31" s="22" t="s">
        <v>24</v>
      </c>
      <c r="F31" s="22" t="s">
        <v>25</v>
      </c>
      <c r="G31" s="22" t="s">
        <v>148</v>
      </c>
      <c r="H31" s="22" t="s">
        <v>149</v>
      </c>
      <c r="I31" s="22" t="s">
        <v>28</v>
      </c>
      <c r="J31" s="125">
        <v>3835.3112149999997</v>
      </c>
      <c r="K31" s="125">
        <v>3646.6857880000002</v>
      </c>
      <c r="L31" s="125">
        <v>3224.747804000001</v>
      </c>
      <c r="M31" s="125">
        <v>2720.15616</v>
      </c>
      <c r="N31" s="125">
        <v>2198.2843040000002</v>
      </c>
      <c r="O31" s="125">
        <v>7.34</v>
      </c>
      <c r="P31" s="126">
        <v>43618</v>
      </c>
      <c r="Q31" s="22" t="s">
        <v>150</v>
      </c>
      <c r="R31" s="22" t="s">
        <v>41</v>
      </c>
      <c r="S31" s="22" t="s">
        <v>47</v>
      </c>
      <c r="T31" s="22" t="s">
        <v>47</v>
      </c>
      <c r="U31" s="128">
        <v>26766.673683920002</v>
      </c>
      <c r="V31" s="128">
        <v>23669.648881360008</v>
      </c>
      <c r="W31" s="128">
        <v>19965.946214399999</v>
      </c>
      <c r="X31" s="127">
        <v>0.3</v>
      </c>
      <c r="Y31" s="127">
        <v>0.3</v>
      </c>
      <c r="Z31" s="128">
        <v>8030.0021051760004</v>
      </c>
      <c r="AA31" s="128">
        <v>7100.8946644080024</v>
      </c>
      <c r="AB31" s="127">
        <v>0.65</v>
      </c>
      <c r="AC31" s="127">
        <v>0.35</v>
      </c>
      <c r="AD31" s="160">
        <v>7704.8145009072014</v>
      </c>
      <c r="AE31" s="164">
        <v>11542</v>
      </c>
      <c r="AF31" s="129">
        <v>11542</v>
      </c>
      <c r="AG31" s="129">
        <v>88928968.969470918</v>
      </c>
      <c r="AH31" s="165">
        <v>88928968.969470918</v>
      </c>
    </row>
    <row r="32" spans="2:34" hidden="1" x14ac:dyDescent="0.35">
      <c r="B32" s="180" t="s">
        <v>43</v>
      </c>
      <c r="C32" s="138" t="s">
        <v>141</v>
      </c>
      <c r="D32" s="22" t="s">
        <v>43</v>
      </c>
      <c r="E32" s="22" t="s">
        <v>24</v>
      </c>
      <c r="F32" s="22" t="s">
        <v>25</v>
      </c>
      <c r="G32" s="22" t="s">
        <v>151</v>
      </c>
      <c r="H32" s="22" t="s">
        <v>149</v>
      </c>
      <c r="I32" s="22" t="s">
        <v>28</v>
      </c>
      <c r="J32" s="125">
        <v>5368.8443040000002</v>
      </c>
      <c r="K32" s="125">
        <v>5473.2605240000003</v>
      </c>
      <c r="L32" s="125">
        <v>5522.8327169999993</v>
      </c>
      <c r="M32" s="125">
        <v>4783.9837150000003</v>
      </c>
      <c r="N32" s="125">
        <v>3891.3508509999997</v>
      </c>
      <c r="O32" s="125">
        <v>6.85</v>
      </c>
      <c r="P32" s="126">
        <v>43101</v>
      </c>
      <c r="Q32" s="22" t="s">
        <v>150</v>
      </c>
      <c r="R32" s="22" t="s">
        <v>41</v>
      </c>
      <c r="S32" s="22" t="s">
        <v>57</v>
      </c>
      <c r="T32" s="22" t="s">
        <v>47</v>
      </c>
      <c r="U32" s="128">
        <v>37491.834589400001</v>
      </c>
      <c r="V32" s="128">
        <v>37831.404111449992</v>
      </c>
      <c r="W32" s="128">
        <v>32770.288447749997</v>
      </c>
      <c r="X32" s="127">
        <v>0.3</v>
      </c>
      <c r="Y32" s="127">
        <v>0.3</v>
      </c>
      <c r="Z32" s="128">
        <v>11247.55037682</v>
      </c>
      <c r="AA32" s="128">
        <v>11349.421233434998</v>
      </c>
      <c r="AB32" s="127">
        <v>0.65</v>
      </c>
      <c r="AC32" s="127">
        <v>0.35</v>
      </c>
      <c r="AD32" s="160">
        <v>11283.205176635249</v>
      </c>
      <c r="AE32" s="164">
        <v>11542</v>
      </c>
      <c r="AF32" s="129">
        <v>11542</v>
      </c>
      <c r="AG32" s="129">
        <v>130230754.14872403</v>
      </c>
      <c r="AH32" s="165">
        <v>130230754.14872403</v>
      </c>
    </row>
    <row r="33" spans="2:34" hidden="1" x14ac:dyDescent="0.35">
      <c r="B33" s="180" t="s">
        <v>43</v>
      </c>
      <c r="C33" s="138" t="s">
        <v>141</v>
      </c>
      <c r="D33" s="22" t="s">
        <v>43</v>
      </c>
      <c r="E33" s="22" t="s">
        <v>44</v>
      </c>
      <c r="F33" s="22" t="s">
        <v>25</v>
      </c>
      <c r="G33" s="22" t="s">
        <v>152</v>
      </c>
      <c r="H33" s="22" t="s">
        <v>153</v>
      </c>
      <c r="I33" s="22" t="s">
        <v>28</v>
      </c>
      <c r="J33" s="125">
        <v>1928.4144079999996</v>
      </c>
      <c r="K33" s="125">
        <v>1980.2452679999997</v>
      </c>
      <c r="L33" s="125">
        <v>1978.799133</v>
      </c>
      <c r="M33" s="125">
        <v>1671.0378280000002</v>
      </c>
      <c r="N33" s="125">
        <v>1309.9315839999999</v>
      </c>
      <c r="O33" s="125">
        <v>7.95</v>
      </c>
      <c r="P33" s="126">
        <v>43101</v>
      </c>
      <c r="Q33" s="22" t="s">
        <v>154</v>
      </c>
      <c r="R33" s="22" t="s">
        <v>41</v>
      </c>
      <c r="S33" s="22" t="s">
        <v>57</v>
      </c>
      <c r="T33" s="22" t="s">
        <v>47</v>
      </c>
      <c r="U33" s="128">
        <v>15742.949880599997</v>
      </c>
      <c r="V33" s="128">
        <v>15731.45310735</v>
      </c>
      <c r="W33" s="128">
        <v>13284.750732600001</v>
      </c>
      <c r="X33" s="127">
        <v>0.3</v>
      </c>
      <c r="Y33" s="127">
        <v>0.3</v>
      </c>
      <c r="Z33" s="128">
        <v>4722.8849641799989</v>
      </c>
      <c r="AA33" s="128">
        <v>4719.4359322049995</v>
      </c>
      <c r="AB33" s="127">
        <v>0.65</v>
      </c>
      <c r="AC33" s="127">
        <v>0.35</v>
      </c>
      <c r="AD33" s="160">
        <v>4721.6778029887491</v>
      </c>
      <c r="AE33" s="164">
        <v>11542</v>
      </c>
      <c r="AF33" s="129">
        <v>11542</v>
      </c>
      <c r="AG33" s="129">
        <v>54497605.202096142</v>
      </c>
      <c r="AH33" s="165">
        <v>54497605.202096142</v>
      </c>
    </row>
    <row r="34" spans="2:34" hidden="1" x14ac:dyDescent="0.35">
      <c r="B34" s="180" t="s">
        <v>43</v>
      </c>
      <c r="C34" s="138" t="s">
        <v>141</v>
      </c>
      <c r="D34" s="22" t="s">
        <v>43</v>
      </c>
      <c r="E34" s="22" t="s">
        <v>112</v>
      </c>
      <c r="F34" s="22" t="s">
        <v>25</v>
      </c>
      <c r="G34" s="22" t="s">
        <v>155</v>
      </c>
      <c r="H34" s="22" t="s">
        <v>156</v>
      </c>
      <c r="I34" s="22" t="s">
        <v>28</v>
      </c>
      <c r="J34" s="125">
        <v>0</v>
      </c>
      <c r="K34" s="125">
        <v>0</v>
      </c>
      <c r="L34" s="125">
        <v>194.585128</v>
      </c>
      <c r="M34" s="125">
        <v>1326.491773</v>
      </c>
      <c r="N34" s="125">
        <v>1346.500591</v>
      </c>
      <c r="O34" s="125">
        <v>2</v>
      </c>
      <c r="P34" s="126">
        <v>45871</v>
      </c>
      <c r="Q34" s="22"/>
      <c r="R34" s="22">
        <v>25</v>
      </c>
      <c r="S34" s="22" t="s">
        <v>104</v>
      </c>
      <c r="T34" s="22" t="s">
        <v>73</v>
      </c>
      <c r="U34" s="128">
        <v>0</v>
      </c>
      <c r="V34" s="128">
        <v>389.17025599999999</v>
      </c>
      <c r="W34" s="128">
        <v>2652.9835459999999</v>
      </c>
      <c r="X34" s="127">
        <v>1</v>
      </c>
      <c r="Y34" s="127">
        <v>1</v>
      </c>
      <c r="Z34" s="128">
        <v>0</v>
      </c>
      <c r="AA34" s="128">
        <v>389.17025599999999</v>
      </c>
      <c r="AB34" s="127">
        <v>0</v>
      </c>
      <c r="AC34" s="127">
        <v>0.7</v>
      </c>
      <c r="AD34" s="160">
        <v>272.41917919999997</v>
      </c>
      <c r="AE34" s="164">
        <v>11542</v>
      </c>
      <c r="AF34" s="129">
        <v>11542</v>
      </c>
      <c r="AG34" s="129">
        <v>3144262.1663263999</v>
      </c>
      <c r="AH34" s="165">
        <v>3144262.1663263999</v>
      </c>
    </row>
    <row r="35" spans="2:34" hidden="1" x14ac:dyDescent="0.35">
      <c r="B35" s="180" t="s">
        <v>43</v>
      </c>
      <c r="C35" s="138" t="s">
        <v>141</v>
      </c>
      <c r="D35" s="22" t="s">
        <v>43</v>
      </c>
      <c r="E35" s="22" t="s">
        <v>157</v>
      </c>
      <c r="F35" s="22" t="s">
        <v>25</v>
      </c>
      <c r="G35" s="22" t="s">
        <v>158</v>
      </c>
      <c r="H35" s="22" t="s">
        <v>156</v>
      </c>
      <c r="I35" s="22" t="s">
        <v>28</v>
      </c>
      <c r="J35" s="125">
        <v>0</v>
      </c>
      <c r="K35" s="125">
        <v>0</v>
      </c>
      <c r="L35" s="125">
        <v>583.75538400000005</v>
      </c>
      <c r="M35" s="125">
        <v>3979.4753250000003</v>
      </c>
      <c r="N35" s="125">
        <v>4039.5017719999996</v>
      </c>
      <c r="O35" s="125">
        <v>9.01</v>
      </c>
      <c r="P35" s="126">
        <v>45871</v>
      </c>
      <c r="Q35" s="22"/>
      <c r="R35" s="22">
        <v>25</v>
      </c>
      <c r="S35" s="22" t="s">
        <v>104</v>
      </c>
      <c r="T35" s="22" t="s">
        <v>73</v>
      </c>
      <c r="U35" s="128">
        <v>0</v>
      </c>
      <c r="V35" s="128">
        <v>5259.63600984</v>
      </c>
      <c r="W35" s="128">
        <v>35855.072678249999</v>
      </c>
      <c r="X35" s="127">
        <v>1</v>
      </c>
      <c r="Y35" s="127">
        <v>1</v>
      </c>
      <c r="Z35" s="128">
        <v>0</v>
      </c>
      <c r="AA35" s="128">
        <v>5259.63600984</v>
      </c>
      <c r="AB35" s="127">
        <v>0</v>
      </c>
      <c r="AC35" s="127">
        <v>0.7</v>
      </c>
      <c r="AD35" s="160">
        <v>3681.7452068879998</v>
      </c>
      <c r="AE35" s="164">
        <v>11542</v>
      </c>
      <c r="AF35" s="129">
        <v>11542</v>
      </c>
      <c r="AG35" s="129">
        <v>42494703.17790129</v>
      </c>
      <c r="AH35" s="165">
        <v>42494703.17790129</v>
      </c>
    </row>
    <row r="36" spans="2:34" hidden="1" x14ac:dyDescent="0.35">
      <c r="B36" s="180" t="s">
        <v>43</v>
      </c>
      <c r="C36" s="138" t="s">
        <v>159</v>
      </c>
      <c r="D36" s="22" t="s">
        <v>43</v>
      </c>
      <c r="E36" s="22" t="s">
        <v>44</v>
      </c>
      <c r="F36" s="22" t="s">
        <v>25</v>
      </c>
      <c r="G36" s="22" t="s">
        <v>162</v>
      </c>
      <c r="H36" s="22" t="s">
        <v>163</v>
      </c>
      <c r="I36" s="22" t="s">
        <v>28</v>
      </c>
      <c r="J36" s="125">
        <v>1043</v>
      </c>
      <c r="K36" s="125">
        <v>1104</v>
      </c>
      <c r="L36" s="125">
        <v>1104</v>
      </c>
      <c r="M36" s="125">
        <v>1104</v>
      </c>
      <c r="N36" s="125">
        <v>1104</v>
      </c>
      <c r="O36" s="125">
        <v>9.49</v>
      </c>
      <c r="P36" s="126">
        <v>43101</v>
      </c>
      <c r="Q36" s="22" t="s">
        <v>164</v>
      </c>
      <c r="R36" s="22" t="s">
        <v>41</v>
      </c>
      <c r="S36" s="22" t="s">
        <v>57</v>
      </c>
      <c r="T36" s="22" t="s">
        <v>47</v>
      </c>
      <c r="U36" s="128">
        <v>10476.960000000001</v>
      </c>
      <c r="V36" s="128">
        <v>10476.960000000001</v>
      </c>
      <c r="W36" s="128">
        <v>10476.960000000001</v>
      </c>
      <c r="X36" s="127">
        <v>0.3</v>
      </c>
      <c r="Y36" s="127">
        <v>0.3</v>
      </c>
      <c r="Z36" s="128">
        <v>3143.0880000000002</v>
      </c>
      <c r="AA36" s="128">
        <v>3143.0880000000002</v>
      </c>
      <c r="AB36" s="127">
        <v>0.65</v>
      </c>
      <c r="AC36" s="127">
        <v>0.35</v>
      </c>
      <c r="AD36" s="160">
        <v>3143.0880000000002</v>
      </c>
      <c r="AE36" s="164">
        <v>11542</v>
      </c>
      <c r="AF36" s="129">
        <v>11542</v>
      </c>
      <c r="AG36" s="129">
        <v>36277521.696000002</v>
      </c>
      <c r="AH36" s="165">
        <v>36277521.696000002</v>
      </c>
    </row>
    <row r="37" spans="2:34" hidden="1" x14ac:dyDescent="0.35">
      <c r="B37" s="180" t="s">
        <v>43</v>
      </c>
      <c r="C37" s="138" t="s">
        <v>165</v>
      </c>
      <c r="D37" s="22" t="s">
        <v>75</v>
      </c>
      <c r="E37" s="22">
        <v>1</v>
      </c>
      <c r="F37" s="22" t="s">
        <v>166</v>
      </c>
      <c r="G37" s="22" t="s">
        <v>167</v>
      </c>
      <c r="H37" s="22" t="s">
        <v>168</v>
      </c>
      <c r="I37" s="22" t="s">
        <v>28</v>
      </c>
      <c r="J37" s="125">
        <v>0</v>
      </c>
      <c r="K37" s="125">
        <v>0</v>
      </c>
      <c r="L37" s="125">
        <v>2.8330770000000003</v>
      </c>
      <c r="M37" s="125">
        <v>125.23534500000001</v>
      </c>
      <c r="N37" s="125">
        <v>171.31492499999999</v>
      </c>
      <c r="O37" s="125">
        <v>12.000094246</v>
      </c>
      <c r="P37" s="126">
        <v>45963</v>
      </c>
      <c r="Q37" s="22"/>
      <c r="R37" s="22">
        <v>25</v>
      </c>
      <c r="S37" s="22" t="s">
        <v>104</v>
      </c>
      <c r="T37" s="22" t="s">
        <v>73</v>
      </c>
      <c r="U37" s="128">
        <v>0</v>
      </c>
      <c r="V37" s="128">
        <v>33.997191006174944</v>
      </c>
      <c r="W37" s="128">
        <v>1502.835942930325</v>
      </c>
      <c r="X37" s="127">
        <v>1</v>
      </c>
      <c r="Y37" s="127">
        <v>1</v>
      </c>
      <c r="Z37" s="128">
        <v>0</v>
      </c>
      <c r="AA37" s="128">
        <v>33.997191006174944</v>
      </c>
      <c r="AB37" s="127">
        <v>0</v>
      </c>
      <c r="AC37" s="127">
        <v>0.7</v>
      </c>
      <c r="AD37" s="160">
        <v>23.79803370432246</v>
      </c>
      <c r="AE37" s="164">
        <v>11542</v>
      </c>
      <c r="AF37" s="129">
        <v>11542</v>
      </c>
      <c r="AG37" s="129">
        <v>274676.90501528984</v>
      </c>
      <c r="AH37" s="165">
        <v>274676.90501528984</v>
      </c>
    </row>
    <row r="38" spans="2:34" hidden="1" x14ac:dyDescent="0.35">
      <c r="B38" s="180" t="s">
        <v>43</v>
      </c>
      <c r="C38" s="138" t="s">
        <v>165</v>
      </c>
      <c r="D38" s="22" t="s">
        <v>75</v>
      </c>
      <c r="E38" s="22">
        <v>2</v>
      </c>
      <c r="F38" s="22" t="s">
        <v>166</v>
      </c>
      <c r="G38" s="22" t="s">
        <v>169</v>
      </c>
      <c r="H38" s="22" t="s">
        <v>168</v>
      </c>
      <c r="I38" s="22" t="s">
        <v>28</v>
      </c>
      <c r="J38" s="125">
        <v>0</v>
      </c>
      <c r="K38" s="125">
        <v>0</v>
      </c>
      <c r="L38" s="125">
        <v>2.0494149999999998</v>
      </c>
      <c r="M38" s="125">
        <v>82.370483999999976</v>
      </c>
      <c r="N38" s="125">
        <v>103.693168</v>
      </c>
      <c r="O38" s="125">
        <v>8.0001793550000002</v>
      </c>
      <c r="P38" s="126">
        <v>45963</v>
      </c>
      <c r="Q38" s="22"/>
      <c r="R38" s="22">
        <v>25</v>
      </c>
      <c r="S38" s="22" t="s">
        <v>104</v>
      </c>
      <c r="T38" s="22" t="s">
        <v>73</v>
      </c>
      <c r="U38" s="128">
        <v>0</v>
      </c>
      <c r="V38" s="128">
        <v>16.395687572827324</v>
      </c>
      <c r="W38" s="128">
        <v>658.97864555815761</v>
      </c>
      <c r="X38" s="127">
        <v>1</v>
      </c>
      <c r="Y38" s="127">
        <v>1</v>
      </c>
      <c r="Z38" s="128">
        <v>0</v>
      </c>
      <c r="AA38" s="128">
        <v>16.395687572827324</v>
      </c>
      <c r="AB38" s="127">
        <v>0</v>
      </c>
      <c r="AC38" s="127">
        <v>0.7</v>
      </c>
      <c r="AD38" s="160">
        <v>11.476981300979126</v>
      </c>
      <c r="AE38" s="164">
        <v>11542</v>
      </c>
      <c r="AF38" s="129">
        <v>11542</v>
      </c>
      <c r="AG38" s="129">
        <v>132467.31817590108</v>
      </c>
      <c r="AH38" s="165">
        <v>132467.31817590108</v>
      </c>
    </row>
    <row r="39" spans="2:34" hidden="1" x14ac:dyDescent="0.35">
      <c r="B39" s="180" t="s">
        <v>43</v>
      </c>
      <c r="C39" s="138" t="s">
        <v>165</v>
      </c>
      <c r="D39" s="22" t="s">
        <v>75</v>
      </c>
      <c r="E39" s="22">
        <v>3</v>
      </c>
      <c r="F39" s="22" t="s">
        <v>166</v>
      </c>
      <c r="G39" s="22" t="s">
        <v>170</v>
      </c>
      <c r="H39" s="22" t="s">
        <v>168</v>
      </c>
      <c r="I39" s="22" t="s">
        <v>28</v>
      </c>
      <c r="J39" s="125">
        <v>0</v>
      </c>
      <c r="K39" s="125">
        <v>0</v>
      </c>
      <c r="L39" s="125">
        <v>1.814899</v>
      </c>
      <c r="M39" s="125">
        <v>112.885406</v>
      </c>
      <c r="N39" s="125">
        <v>161.64646299999998</v>
      </c>
      <c r="O39" s="125">
        <v>8.0001793550000002</v>
      </c>
      <c r="P39" s="126">
        <v>45963</v>
      </c>
      <c r="Q39" s="22"/>
      <c r="R39" s="22">
        <v>25</v>
      </c>
      <c r="S39" s="22" t="s">
        <v>104</v>
      </c>
      <c r="T39" s="22" t="s">
        <v>73</v>
      </c>
      <c r="U39" s="128">
        <v>0</v>
      </c>
      <c r="V39" s="128">
        <v>14.519517511210145</v>
      </c>
      <c r="W39" s="128">
        <v>903.10349456199322</v>
      </c>
      <c r="X39" s="127" t="s">
        <v>72</v>
      </c>
      <c r="Y39" s="127" t="s">
        <v>72</v>
      </c>
      <c r="Z39" s="128" t="s">
        <v>32</v>
      </c>
      <c r="AA39" s="128" t="s">
        <v>32</v>
      </c>
      <c r="AB39" s="127" t="s">
        <v>72</v>
      </c>
      <c r="AC39" s="127" t="s">
        <v>72</v>
      </c>
      <c r="AD39" s="160">
        <v>0</v>
      </c>
      <c r="AE39" s="164">
        <v>11542</v>
      </c>
      <c r="AF39" s="129">
        <v>11542</v>
      </c>
      <c r="AG39" s="129">
        <v>0</v>
      </c>
      <c r="AH39" s="165">
        <v>0</v>
      </c>
    </row>
    <row r="40" spans="2:34" hidden="1" x14ac:dyDescent="0.35">
      <c r="B40" s="180" t="s">
        <v>43</v>
      </c>
      <c r="C40" s="138" t="s">
        <v>171</v>
      </c>
      <c r="D40" s="22" t="s">
        <v>43</v>
      </c>
      <c r="E40" s="22" t="s">
        <v>81</v>
      </c>
      <c r="F40" s="22" t="s">
        <v>25</v>
      </c>
      <c r="G40" s="22" t="s">
        <v>172</v>
      </c>
      <c r="H40" s="22" t="s">
        <v>173</v>
      </c>
      <c r="I40" s="22" t="s">
        <v>28</v>
      </c>
      <c r="J40" s="125">
        <v>2245.482289</v>
      </c>
      <c r="K40" s="125">
        <v>2102.0966210000001</v>
      </c>
      <c r="L40" s="125">
        <v>1982.4255930000002</v>
      </c>
      <c r="M40" s="125">
        <v>1573.4646579999996</v>
      </c>
      <c r="N40" s="125">
        <v>1266.1334040000002</v>
      </c>
      <c r="O40" s="125">
        <v>8.9600000000000009</v>
      </c>
      <c r="P40" s="126">
        <v>43497</v>
      </c>
      <c r="Q40" s="22" t="s">
        <v>174</v>
      </c>
      <c r="R40" s="22" t="s">
        <v>41</v>
      </c>
      <c r="S40" s="22" t="s">
        <v>47</v>
      </c>
      <c r="T40" s="22" t="s">
        <v>47</v>
      </c>
      <c r="U40" s="128">
        <v>18834.785724160003</v>
      </c>
      <c r="V40" s="128">
        <v>17762.533313280004</v>
      </c>
      <c r="W40" s="128">
        <v>14098.243335679997</v>
      </c>
      <c r="X40" s="127">
        <v>0.3</v>
      </c>
      <c r="Y40" s="127">
        <v>0.3</v>
      </c>
      <c r="Z40" s="128">
        <v>5650.4357172480004</v>
      </c>
      <c r="AA40" s="128">
        <v>5328.7599939840011</v>
      </c>
      <c r="AB40" s="127">
        <v>0.65</v>
      </c>
      <c r="AC40" s="127">
        <v>0.35</v>
      </c>
      <c r="AD40" s="160">
        <v>5537.8492141056004</v>
      </c>
      <c r="AE40" s="164">
        <v>11542</v>
      </c>
      <c r="AF40" s="129">
        <v>11542</v>
      </c>
      <c r="AG40" s="129">
        <v>63917855.629206836</v>
      </c>
      <c r="AH40" s="165">
        <v>63917855.629206836</v>
      </c>
    </row>
    <row r="41" spans="2:34" hidden="1" x14ac:dyDescent="0.35">
      <c r="B41" s="180" t="s">
        <v>43</v>
      </c>
      <c r="C41" s="138" t="s">
        <v>175</v>
      </c>
      <c r="D41" s="22" t="s">
        <v>43</v>
      </c>
      <c r="E41" s="22" t="s">
        <v>81</v>
      </c>
      <c r="F41" s="22" t="s">
        <v>25</v>
      </c>
      <c r="G41" s="22" t="s">
        <v>176</v>
      </c>
      <c r="H41" s="22" t="s">
        <v>177</v>
      </c>
      <c r="I41" s="22" t="s">
        <v>28</v>
      </c>
      <c r="J41" s="125">
        <v>2376.7139980000002</v>
      </c>
      <c r="K41" s="125">
        <v>2506.0678609999995</v>
      </c>
      <c r="L41" s="125">
        <v>3057.851224</v>
      </c>
      <c r="M41" s="125">
        <v>3041.4376789999997</v>
      </c>
      <c r="N41" s="125">
        <v>2440.2365440000003</v>
      </c>
      <c r="O41" s="125">
        <v>8.9600000000000009</v>
      </c>
      <c r="P41" s="126">
        <v>44531</v>
      </c>
      <c r="Q41" s="22" t="s">
        <v>178</v>
      </c>
      <c r="R41" s="22" t="s">
        <v>41</v>
      </c>
      <c r="S41" s="22" t="s">
        <v>42</v>
      </c>
      <c r="T41" s="22" t="s">
        <v>42</v>
      </c>
      <c r="U41" s="128">
        <v>22454.368034559997</v>
      </c>
      <c r="V41" s="128">
        <v>27398.346967040001</v>
      </c>
      <c r="W41" s="128">
        <v>27251.281603839998</v>
      </c>
      <c r="X41" s="127">
        <v>0.8</v>
      </c>
      <c r="Y41" s="127">
        <v>0.6</v>
      </c>
      <c r="Z41" s="128">
        <v>17963.494427647998</v>
      </c>
      <c r="AA41" s="128">
        <v>16439.008180223998</v>
      </c>
      <c r="AB41" s="127">
        <v>0.65</v>
      </c>
      <c r="AC41" s="127">
        <v>0.35</v>
      </c>
      <c r="AD41" s="160">
        <v>17429.924241049597</v>
      </c>
      <c r="AE41" s="164">
        <v>11542</v>
      </c>
      <c r="AF41" s="129">
        <v>11542</v>
      </c>
      <c r="AG41" s="129">
        <v>201176185.59019446</v>
      </c>
      <c r="AH41" s="165">
        <v>201176185.59019446</v>
      </c>
    </row>
    <row r="42" spans="2:34" hidden="1" x14ac:dyDescent="0.35">
      <c r="B42" s="180" t="s">
        <v>43</v>
      </c>
      <c r="C42" s="138" t="s">
        <v>179</v>
      </c>
      <c r="D42" s="22" t="s">
        <v>43</v>
      </c>
      <c r="E42" s="22" t="s">
        <v>24</v>
      </c>
      <c r="F42" s="22" t="s">
        <v>25</v>
      </c>
      <c r="G42" s="22" t="s">
        <v>180</v>
      </c>
      <c r="H42" s="22" t="s">
        <v>181</v>
      </c>
      <c r="I42" s="22" t="s">
        <v>28</v>
      </c>
      <c r="J42" s="125">
        <v>3406.9486579999998</v>
      </c>
      <c r="K42" s="125">
        <v>2663.2251079999996</v>
      </c>
      <c r="L42" s="125">
        <v>2614.1495750000004</v>
      </c>
      <c r="M42" s="125">
        <v>2405.1949690000001</v>
      </c>
      <c r="N42" s="125">
        <v>2033.8963670000001</v>
      </c>
      <c r="O42" s="125">
        <v>9.36</v>
      </c>
      <c r="P42" s="126">
        <v>42005</v>
      </c>
      <c r="Q42" s="22" t="s">
        <v>182</v>
      </c>
      <c r="R42" s="22" t="s">
        <v>41</v>
      </c>
      <c r="S42" s="22" t="s">
        <v>57</v>
      </c>
      <c r="T42" s="22" t="s">
        <v>98</v>
      </c>
      <c r="U42" s="128">
        <v>24927.787010879994</v>
      </c>
      <c r="V42" s="128">
        <v>24468.440022000003</v>
      </c>
      <c r="W42" s="128">
        <v>22512.62490984</v>
      </c>
      <c r="X42" s="127">
        <v>0.3</v>
      </c>
      <c r="Y42" s="127">
        <v>0.3</v>
      </c>
      <c r="Z42" s="128">
        <v>7478.3361032639978</v>
      </c>
      <c r="AA42" s="128">
        <v>7340.5320066000004</v>
      </c>
      <c r="AB42" s="127">
        <v>0.65</v>
      </c>
      <c r="AC42" s="127">
        <v>0.35</v>
      </c>
      <c r="AD42" s="160">
        <v>7430.1046694315992</v>
      </c>
      <c r="AE42" s="164">
        <v>11542</v>
      </c>
      <c r="AF42" s="129">
        <v>11542</v>
      </c>
      <c r="AG42" s="129">
        <v>85758268.094579518</v>
      </c>
      <c r="AH42" s="165">
        <v>85758268.094579518</v>
      </c>
    </row>
    <row r="43" spans="2:34" hidden="1" x14ac:dyDescent="0.35">
      <c r="B43" s="180" t="s">
        <v>43</v>
      </c>
      <c r="C43" s="138" t="s">
        <v>179</v>
      </c>
      <c r="D43" s="22" t="s">
        <v>43</v>
      </c>
      <c r="E43" s="22" t="s">
        <v>44</v>
      </c>
      <c r="F43" s="22" t="s">
        <v>25</v>
      </c>
      <c r="G43" s="22" t="s">
        <v>183</v>
      </c>
      <c r="H43" s="22" t="s">
        <v>184</v>
      </c>
      <c r="I43" s="22" t="s">
        <v>28</v>
      </c>
      <c r="J43" s="125">
        <v>1264.5181200000004</v>
      </c>
      <c r="K43" s="125">
        <v>1264.5181200000004</v>
      </c>
      <c r="L43" s="125">
        <v>1264.5281950000003</v>
      </c>
      <c r="M43" s="125">
        <v>1131.4294789999999</v>
      </c>
      <c r="N43" s="125">
        <v>891.8505100000001</v>
      </c>
      <c r="O43" s="125">
        <v>8.7799999999999905</v>
      </c>
      <c r="P43" s="126">
        <v>42005</v>
      </c>
      <c r="Q43" s="22" t="s">
        <v>185</v>
      </c>
      <c r="R43" s="22" t="s">
        <v>41</v>
      </c>
      <c r="S43" s="22" t="s">
        <v>57</v>
      </c>
      <c r="T43" s="22" t="s">
        <v>98</v>
      </c>
      <c r="U43" s="128">
        <v>11102.469093599992</v>
      </c>
      <c r="V43" s="128">
        <v>11102.55755209999</v>
      </c>
      <c r="W43" s="128">
        <v>9933.9508256199879</v>
      </c>
      <c r="X43" s="127">
        <v>0.3</v>
      </c>
      <c r="Y43" s="127">
        <v>0.3</v>
      </c>
      <c r="Z43" s="128">
        <v>3330.7407280799976</v>
      </c>
      <c r="AA43" s="128">
        <v>3330.7672656299969</v>
      </c>
      <c r="AB43" s="127">
        <v>0.65</v>
      </c>
      <c r="AC43" s="127">
        <v>0.35</v>
      </c>
      <c r="AD43" s="160">
        <v>3330.7500162224974</v>
      </c>
      <c r="AE43" s="164">
        <v>11542</v>
      </c>
      <c r="AF43" s="129">
        <v>11542</v>
      </c>
      <c r="AG43" s="129">
        <v>38443516.687240064</v>
      </c>
      <c r="AH43" s="165">
        <v>38443516.687240064</v>
      </c>
    </row>
    <row r="44" spans="2:34" hidden="1" x14ac:dyDescent="0.35">
      <c r="B44" s="180" t="s">
        <v>43</v>
      </c>
      <c r="C44" s="138" t="s">
        <v>186</v>
      </c>
      <c r="D44" s="22" t="s">
        <v>43</v>
      </c>
      <c r="E44" s="22" t="s">
        <v>24</v>
      </c>
      <c r="F44" s="22" t="s">
        <v>25</v>
      </c>
      <c r="G44" s="22" t="s">
        <v>187</v>
      </c>
      <c r="H44" s="22" t="s">
        <v>188</v>
      </c>
      <c r="I44" s="22" t="s">
        <v>28</v>
      </c>
      <c r="J44" s="125">
        <v>768</v>
      </c>
      <c r="K44" s="125">
        <v>768</v>
      </c>
      <c r="L44" s="125">
        <v>768</v>
      </c>
      <c r="M44" s="125">
        <v>768</v>
      </c>
      <c r="N44" s="125">
        <v>768</v>
      </c>
      <c r="O44" s="125">
        <v>9.17</v>
      </c>
      <c r="P44" s="126">
        <v>43101</v>
      </c>
      <c r="Q44" s="22" t="s">
        <v>189</v>
      </c>
      <c r="R44" s="22" t="s">
        <v>41</v>
      </c>
      <c r="S44" s="22" t="s">
        <v>57</v>
      </c>
      <c r="T44" s="22" t="s">
        <v>47</v>
      </c>
      <c r="U44" s="128">
        <v>7042.5599999999995</v>
      </c>
      <c r="V44" s="128">
        <v>7042.5599999999995</v>
      </c>
      <c r="W44" s="128">
        <v>7042.5599999999995</v>
      </c>
      <c r="X44" s="127">
        <v>0.3</v>
      </c>
      <c r="Y44" s="127">
        <v>0.3</v>
      </c>
      <c r="Z44" s="128">
        <v>2112.7679999999996</v>
      </c>
      <c r="AA44" s="128">
        <v>2112.7679999999996</v>
      </c>
      <c r="AB44" s="127">
        <v>0.65</v>
      </c>
      <c r="AC44" s="127">
        <v>0.35</v>
      </c>
      <c r="AD44" s="160">
        <v>2112.7679999999996</v>
      </c>
      <c r="AE44" s="164">
        <v>11542</v>
      </c>
      <c r="AF44" s="129">
        <v>11542</v>
      </c>
      <c r="AG44" s="129">
        <v>24385568.255999994</v>
      </c>
      <c r="AH44" s="165">
        <v>24385568.255999994</v>
      </c>
    </row>
    <row r="45" spans="2:34" hidden="1" x14ac:dyDescent="0.35">
      <c r="B45" s="180" t="s">
        <v>43</v>
      </c>
      <c r="C45" s="138" t="s">
        <v>190</v>
      </c>
      <c r="D45" s="22" t="s">
        <v>75</v>
      </c>
      <c r="E45" s="22" t="s">
        <v>24</v>
      </c>
      <c r="F45" s="22" t="s">
        <v>25</v>
      </c>
      <c r="G45" s="22" t="s">
        <v>191</v>
      </c>
      <c r="H45" s="22" t="s">
        <v>192</v>
      </c>
      <c r="I45" s="22" t="s">
        <v>28</v>
      </c>
      <c r="J45" s="125">
        <v>0</v>
      </c>
      <c r="K45" s="125">
        <v>16.739817000000002</v>
      </c>
      <c r="L45" s="125">
        <v>268.53666400000003</v>
      </c>
      <c r="M45" s="125">
        <v>312.29770799999994</v>
      </c>
      <c r="N45" s="125">
        <v>280.06233800000001</v>
      </c>
      <c r="O45" s="125">
        <v>7.0017881480000002</v>
      </c>
      <c r="P45" s="126">
        <v>45567</v>
      </c>
      <c r="Q45" s="22" t="s">
        <v>193</v>
      </c>
      <c r="R45" s="22">
        <v>24</v>
      </c>
      <c r="S45" s="22" t="s">
        <v>30</v>
      </c>
      <c r="T45" s="22" t="s">
        <v>31</v>
      </c>
      <c r="U45" s="128">
        <v>117.20865227028894</v>
      </c>
      <c r="V45" s="128">
        <v>1880.2368312986584</v>
      </c>
      <c r="W45" s="128">
        <v>2186.6423905219644</v>
      </c>
      <c r="X45" s="127">
        <v>1</v>
      </c>
      <c r="Y45" s="127">
        <v>1</v>
      </c>
      <c r="Z45" s="128">
        <v>117.20865227028894</v>
      </c>
      <c r="AA45" s="128">
        <v>1880.2368312986584</v>
      </c>
      <c r="AB45" s="127">
        <v>0.15</v>
      </c>
      <c r="AC45" s="127">
        <v>0.85</v>
      </c>
      <c r="AD45" s="160">
        <v>1615.782604444403</v>
      </c>
      <c r="AE45" s="164">
        <v>11542</v>
      </c>
      <c r="AF45" s="129">
        <v>11542</v>
      </c>
      <c r="AG45" s="129">
        <v>18649362.8204973</v>
      </c>
      <c r="AH45" s="165">
        <v>18649362.8204973</v>
      </c>
    </row>
    <row r="46" spans="2:34" hidden="1" x14ac:dyDescent="0.35">
      <c r="B46" s="180" t="s">
        <v>43</v>
      </c>
      <c r="C46" s="138" t="s">
        <v>194</v>
      </c>
      <c r="D46" s="22" t="s">
        <v>195</v>
      </c>
      <c r="E46" s="22">
        <v>1</v>
      </c>
      <c r="F46" s="22" t="s">
        <v>25</v>
      </c>
      <c r="G46" s="22" t="s">
        <v>196</v>
      </c>
      <c r="H46" s="22" t="s">
        <v>197</v>
      </c>
      <c r="I46" s="22" t="s">
        <v>28</v>
      </c>
      <c r="J46" s="125">
        <v>0</v>
      </c>
      <c r="K46" s="125">
        <v>1766.6198050000003</v>
      </c>
      <c r="L46" s="125">
        <v>5705.2182929999999</v>
      </c>
      <c r="M46" s="125">
        <v>5627.0362699999996</v>
      </c>
      <c r="N46" s="125">
        <v>5321.8620940000001</v>
      </c>
      <c r="O46" s="125">
        <v>9.01</v>
      </c>
      <c r="P46" s="126">
        <v>45414</v>
      </c>
      <c r="Q46" s="22"/>
      <c r="R46" s="22">
        <v>24</v>
      </c>
      <c r="S46" s="22" t="s">
        <v>30</v>
      </c>
      <c r="T46" s="22" t="s">
        <v>31</v>
      </c>
      <c r="U46" s="128">
        <v>15917.244443050002</v>
      </c>
      <c r="V46" s="128">
        <v>51404.016819929995</v>
      </c>
      <c r="W46" s="128">
        <v>50699.596792699995</v>
      </c>
      <c r="X46" s="127">
        <v>1</v>
      </c>
      <c r="Y46" s="127">
        <v>1</v>
      </c>
      <c r="Z46" s="128">
        <v>15917.244443050002</v>
      </c>
      <c r="AA46" s="128">
        <v>51404.016819929995</v>
      </c>
      <c r="AB46" s="127">
        <v>0.4</v>
      </c>
      <c r="AC46" s="127">
        <v>0.6</v>
      </c>
      <c r="AD46" s="160">
        <v>37209.307869177996</v>
      </c>
      <c r="AE46" s="164">
        <v>11542</v>
      </c>
      <c r="AF46" s="129">
        <v>11542</v>
      </c>
      <c r="AG46" s="129">
        <v>429469831.42605245</v>
      </c>
      <c r="AH46" s="165">
        <v>429469831.42605245</v>
      </c>
    </row>
    <row r="47" spans="2:34" hidden="1" x14ac:dyDescent="0.35">
      <c r="B47" s="180" t="s">
        <v>43</v>
      </c>
      <c r="C47" s="138" t="s">
        <v>194</v>
      </c>
      <c r="D47" s="22" t="s">
        <v>198</v>
      </c>
      <c r="E47" s="22">
        <v>1</v>
      </c>
      <c r="F47" s="22" t="s">
        <v>25</v>
      </c>
      <c r="G47" s="22" t="s">
        <v>199</v>
      </c>
      <c r="H47" s="22" t="s">
        <v>200</v>
      </c>
      <c r="I47" s="22" t="s">
        <v>28</v>
      </c>
      <c r="J47" s="125">
        <v>1195.0431859999999</v>
      </c>
      <c r="K47" s="125">
        <v>4553.8924540000007</v>
      </c>
      <c r="L47" s="125">
        <v>3024.0279009999999</v>
      </c>
      <c r="M47" s="125">
        <v>2675.0512280000003</v>
      </c>
      <c r="N47" s="125">
        <v>2364.7938899999995</v>
      </c>
      <c r="O47" s="125">
        <v>9.01</v>
      </c>
      <c r="P47" s="126">
        <v>45018</v>
      </c>
      <c r="Q47" s="22"/>
      <c r="R47" s="22" t="s">
        <v>41</v>
      </c>
      <c r="S47" s="22" t="s">
        <v>79</v>
      </c>
      <c r="T47" s="22" t="s">
        <v>80</v>
      </c>
      <c r="U47" s="128">
        <v>41030.571010540007</v>
      </c>
      <c r="V47" s="128">
        <v>27246.491388009999</v>
      </c>
      <c r="W47" s="128">
        <v>24102.211564280002</v>
      </c>
      <c r="X47" s="127">
        <v>1</v>
      </c>
      <c r="Y47" s="127">
        <v>0.8</v>
      </c>
      <c r="Z47" s="128">
        <v>41030.571010540007</v>
      </c>
      <c r="AA47" s="128">
        <v>21797.193110407999</v>
      </c>
      <c r="AB47" s="127">
        <v>0.65</v>
      </c>
      <c r="AC47" s="127">
        <v>0.35</v>
      </c>
      <c r="AD47" s="160">
        <v>34298.888745493801</v>
      </c>
      <c r="AE47" s="164">
        <v>11542</v>
      </c>
      <c r="AF47" s="129">
        <v>11542</v>
      </c>
      <c r="AG47" s="129">
        <v>395877773.90048945</v>
      </c>
      <c r="AH47" s="165">
        <v>395877773.90048945</v>
      </c>
    </row>
    <row r="48" spans="2:34" hidden="1" x14ac:dyDescent="0.35">
      <c r="B48" s="180" t="s">
        <v>43</v>
      </c>
      <c r="C48" s="138" t="s">
        <v>201</v>
      </c>
      <c r="D48" s="22" t="s">
        <v>202</v>
      </c>
      <c r="E48" s="22" t="s">
        <v>203</v>
      </c>
      <c r="F48" s="22" t="s">
        <v>25</v>
      </c>
      <c r="G48" s="22" t="s">
        <v>204</v>
      </c>
      <c r="H48" s="22" t="s">
        <v>205</v>
      </c>
      <c r="I48" s="22" t="s">
        <v>28</v>
      </c>
      <c r="J48" s="125">
        <v>0</v>
      </c>
      <c r="K48" s="125">
        <v>0</v>
      </c>
      <c r="L48" s="125">
        <v>0</v>
      </c>
      <c r="M48" s="125">
        <v>0</v>
      </c>
      <c r="N48" s="125">
        <v>643.408502</v>
      </c>
      <c r="O48" s="125">
        <v>8.9600000000000009</v>
      </c>
      <c r="P48" s="126">
        <v>46448</v>
      </c>
      <c r="Q48" s="22"/>
      <c r="R48" s="22" t="s">
        <v>103</v>
      </c>
      <c r="S48" s="22" t="s">
        <v>104</v>
      </c>
      <c r="T48" s="22" t="s">
        <v>72</v>
      </c>
      <c r="U48" s="128">
        <v>0</v>
      </c>
      <c r="V48" s="128">
        <v>0</v>
      </c>
      <c r="W48" s="128">
        <v>0</v>
      </c>
      <c r="X48" s="127" t="s">
        <v>72</v>
      </c>
      <c r="Y48" s="127" t="s">
        <v>72</v>
      </c>
      <c r="Z48" s="128" t="s">
        <v>32</v>
      </c>
      <c r="AA48" s="128" t="s">
        <v>32</v>
      </c>
      <c r="AB48" s="127" t="s">
        <v>72</v>
      </c>
      <c r="AC48" s="127" t="s">
        <v>72</v>
      </c>
      <c r="AD48" s="160">
        <v>0</v>
      </c>
      <c r="AE48" s="164">
        <v>11542</v>
      </c>
      <c r="AF48" s="129">
        <v>11542</v>
      </c>
      <c r="AG48" s="129">
        <v>0</v>
      </c>
      <c r="AH48" s="165">
        <v>0</v>
      </c>
    </row>
    <row r="49" spans="2:34" hidden="1" x14ac:dyDescent="0.35">
      <c r="B49" s="180" t="s">
        <v>43</v>
      </c>
      <c r="C49" s="138" t="s">
        <v>201</v>
      </c>
      <c r="D49" s="22" t="s">
        <v>75</v>
      </c>
      <c r="E49" s="22" t="s">
        <v>112</v>
      </c>
      <c r="F49" s="22" t="s">
        <v>90</v>
      </c>
      <c r="G49" s="22" t="s">
        <v>206</v>
      </c>
      <c r="H49" s="22" t="s">
        <v>348</v>
      </c>
      <c r="I49" s="22" t="s">
        <v>28</v>
      </c>
      <c r="J49" s="125">
        <v>0</v>
      </c>
      <c r="K49" s="125">
        <v>0</v>
      </c>
      <c r="L49" s="125">
        <v>771.78823699999987</v>
      </c>
      <c r="M49" s="125">
        <v>693.19040400000006</v>
      </c>
      <c r="N49" s="125">
        <v>638.73967299999993</v>
      </c>
      <c r="O49" s="125">
        <v>2</v>
      </c>
      <c r="P49" s="126">
        <v>45672</v>
      </c>
      <c r="Q49" s="22" t="s">
        <v>207</v>
      </c>
      <c r="R49" s="22">
        <v>25</v>
      </c>
      <c r="S49" s="22" t="s">
        <v>104</v>
      </c>
      <c r="T49" s="22" t="s">
        <v>31</v>
      </c>
      <c r="U49" s="128">
        <v>0</v>
      </c>
      <c r="V49" s="128">
        <v>1543.5764739999997</v>
      </c>
      <c r="W49" s="128">
        <v>1386.3808080000001</v>
      </c>
      <c r="X49" s="127">
        <v>1</v>
      </c>
      <c r="Y49" s="127">
        <v>1</v>
      </c>
      <c r="Z49" s="128">
        <v>0</v>
      </c>
      <c r="AA49" s="128">
        <v>1543.5764739999997</v>
      </c>
      <c r="AB49" s="127">
        <v>0</v>
      </c>
      <c r="AC49" s="127">
        <v>1</v>
      </c>
      <c r="AD49" s="160">
        <v>1543.5764739999997</v>
      </c>
      <c r="AE49" s="164">
        <v>11542</v>
      </c>
      <c r="AF49" s="129">
        <v>11542</v>
      </c>
      <c r="AG49" s="129">
        <v>17815959.662907995</v>
      </c>
      <c r="AH49" s="165">
        <v>17815959.662907995</v>
      </c>
    </row>
    <row r="50" spans="2:34" hidden="1" x14ac:dyDescent="0.35">
      <c r="B50" s="180" t="s">
        <v>43</v>
      </c>
      <c r="C50" s="138" t="s">
        <v>201</v>
      </c>
      <c r="D50" s="22" t="s">
        <v>75</v>
      </c>
      <c r="E50" s="22" t="s">
        <v>157</v>
      </c>
      <c r="F50" s="22" t="s">
        <v>90</v>
      </c>
      <c r="G50" s="22" t="s">
        <v>208</v>
      </c>
      <c r="H50" s="22" t="s">
        <v>348</v>
      </c>
      <c r="I50" s="22" t="s">
        <v>28</v>
      </c>
      <c r="J50" s="125">
        <v>0</v>
      </c>
      <c r="K50" s="125">
        <v>0</v>
      </c>
      <c r="L50" s="125">
        <v>1800.8392240000001</v>
      </c>
      <c r="M50" s="125">
        <v>1617.4442759999997</v>
      </c>
      <c r="N50" s="125">
        <v>1490.3925719999997</v>
      </c>
      <c r="O50" s="125">
        <v>8.99</v>
      </c>
      <c r="P50" s="126">
        <v>45672</v>
      </c>
      <c r="Q50" s="22" t="s">
        <v>207</v>
      </c>
      <c r="R50" s="22">
        <v>25</v>
      </c>
      <c r="S50" s="22" t="s">
        <v>104</v>
      </c>
      <c r="T50" s="22" t="s">
        <v>31</v>
      </c>
      <c r="U50" s="128">
        <v>0</v>
      </c>
      <c r="V50" s="128">
        <v>16189.544623760001</v>
      </c>
      <c r="W50" s="128">
        <v>14540.824041239997</v>
      </c>
      <c r="X50" s="127">
        <v>1</v>
      </c>
      <c r="Y50" s="127">
        <v>1</v>
      </c>
      <c r="Z50" s="128">
        <v>0</v>
      </c>
      <c r="AA50" s="128">
        <v>16189.544623760001</v>
      </c>
      <c r="AB50" s="127">
        <v>0</v>
      </c>
      <c r="AC50" s="127">
        <v>1</v>
      </c>
      <c r="AD50" s="160">
        <v>16189.544623760001</v>
      </c>
      <c r="AE50" s="164">
        <v>11542</v>
      </c>
      <c r="AF50" s="129">
        <v>11542</v>
      </c>
      <c r="AG50" s="129">
        <v>186859724.04743794</v>
      </c>
      <c r="AH50" s="165">
        <v>186859724.04743794</v>
      </c>
    </row>
    <row r="51" spans="2:34" hidden="1" x14ac:dyDescent="0.35">
      <c r="B51" s="180" t="s">
        <v>43</v>
      </c>
      <c r="C51" s="138" t="s">
        <v>201</v>
      </c>
      <c r="D51" s="22" t="s">
        <v>209</v>
      </c>
      <c r="E51" s="22" t="s">
        <v>112</v>
      </c>
      <c r="F51" s="22" t="s">
        <v>25</v>
      </c>
      <c r="G51" s="22" t="s">
        <v>210</v>
      </c>
      <c r="H51" s="22" t="s">
        <v>349</v>
      </c>
      <c r="I51" s="22" t="s">
        <v>28</v>
      </c>
      <c r="J51" s="125">
        <v>0</v>
      </c>
      <c r="K51" s="125">
        <v>0</v>
      </c>
      <c r="L51" s="125">
        <v>45.078893999999998</v>
      </c>
      <c r="M51" s="125">
        <v>305.10254099999997</v>
      </c>
      <c r="N51" s="125">
        <v>327.87450699999994</v>
      </c>
      <c r="O51" s="125">
        <v>2</v>
      </c>
      <c r="P51" s="126">
        <v>45871</v>
      </c>
      <c r="Q51" s="22"/>
      <c r="R51" s="22">
        <v>25</v>
      </c>
      <c r="S51" s="22" t="s">
        <v>104</v>
      </c>
      <c r="T51" s="22" t="s">
        <v>73</v>
      </c>
      <c r="U51" s="128">
        <v>0</v>
      </c>
      <c r="V51" s="128">
        <v>90.157787999999996</v>
      </c>
      <c r="W51" s="128">
        <v>610.20508199999995</v>
      </c>
      <c r="X51" s="127">
        <v>1</v>
      </c>
      <c r="Y51" s="127">
        <v>1</v>
      </c>
      <c r="Z51" s="128">
        <v>0</v>
      </c>
      <c r="AA51" s="128">
        <v>90.157787999999996</v>
      </c>
      <c r="AB51" s="127">
        <v>0</v>
      </c>
      <c r="AC51" s="127">
        <v>0.7</v>
      </c>
      <c r="AD51" s="160">
        <v>63.11045159999999</v>
      </c>
      <c r="AE51" s="164">
        <v>11542</v>
      </c>
      <c r="AF51" s="129">
        <v>11542</v>
      </c>
      <c r="AG51" s="129">
        <v>728420.83236719994</v>
      </c>
      <c r="AH51" s="165">
        <v>728420.83236719994</v>
      </c>
    </row>
    <row r="52" spans="2:34" hidden="1" x14ac:dyDescent="0.35">
      <c r="B52" s="180" t="s">
        <v>43</v>
      </c>
      <c r="C52" s="138" t="s">
        <v>201</v>
      </c>
      <c r="D52" s="22" t="s">
        <v>209</v>
      </c>
      <c r="E52" s="22" t="s">
        <v>157</v>
      </c>
      <c r="F52" s="22" t="s">
        <v>25</v>
      </c>
      <c r="G52" s="22" t="s">
        <v>211</v>
      </c>
      <c r="H52" s="22" t="s">
        <v>349</v>
      </c>
      <c r="I52" s="22" t="s">
        <v>28</v>
      </c>
      <c r="J52" s="125">
        <v>0</v>
      </c>
      <c r="K52" s="125">
        <v>0</v>
      </c>
      <c r="L52" s="125">
        <v>105.18408700000001</v>
      </c>
      <c r="M52" s="125">
        <v>711.90592700000002</v>
      </c>
      <c r="N52" s="125">
        <v>765.04051700000014</v>
      </c>
      <c r="O52" s="125">
        <v>8.9600000000000009</v>
      </c>
      <c r="P52" s="126">
        <v>45871</v>
      </c>
      <c r="Q52" s="22"/>
      <c r="R52" s="22">
        <v>25</v>
      </c>
      <c r="S52" s="22" t="s">
        <v>104</v>
      </c>
      <c r="T52" s="22" t="s">
        <v>73</v>
      </c>
      <c r="U52" s="128">
        <v>0</v>
      </c>
      <c r="V52" s="128">
        <v>942.44941952000011</v>
      </c>
      <c r="W52" s="128">
        <v>6378.6771059200009</v>
      </c>
      <c r="X52" s="127">
        <v>1</v>
      </c>
      <c r="Y52" s="127">
        <v>1</v>
      </c>
      <c r="Z52" s="128">
        <v>0</v>
      </c>
      <c r="AA52" s="128">
        <v>942.44941952000011</v>
      </c>
      <c r="AB52" s="127">
        <v>0</v>
      </c>
      <c r="AC52" s="127">
        <v>0.7</v>
      </c>
      <c r="AD52" s="160">
        <v>659.71459366400006</v>
      </c>
      <c r="AE52" s="164">
        <v>11542</v>
      </c>
      <c r="AF52" s="129">
        <v>11542</v>
      </c>
      <c r="AG52" s="129">
        <v>7614425.8400698891</v>
      </c>
      <c r="AH52" s="165">
        <v>7614425.8400698891</v>
      </c>
    </row>
    <row r="53" spans="2:34" hidden="1" x14ac:dyDescent="0.35">
      <c r="B53" s="180" t="s">
        <v>43</v>
      </c>
      <c r="C53" s="138" t="s">
        <v>201</v>
      </c>
      <c r="D53" s="22" t="s">
        <v>43</v>
      </c>
      <c r="E53" s="22" t="s">
        <v>81</v>
      </c>
      <c r="F53" s="22" t="s">
        <v>25</v>
      </c>
      <c r="G53" s="22" t="s">
        <v>212</v>
      </c>
      <c r="H53" s="22" t="s">
        <v>350</v>
      </c>
      <c r="I53" s="22" t="s">
        <v>28</v>
      </c>
      <c r="J53" s="125">
        <v>0</v>
      </c>
      <c r="K53" s="125">
        <v>0</v>
      </c>
      <c r="L53" s="125">
        <v>16.142119000000001</v>
      </c>
      <c r="M53" s="125">
        <v>405.10645300000004</v>
      </c>
      <c r="N53" s="125">
        <v>456.18966999999998</v>
      </c>
      <c r="O53" s="125">
        <v>8.9600000000000009</v>
      </c>
      <c r="P53" s="126">
        <v>45963</v>
      </c>
      <c r="Q53" s="22"/>
      <c r="R53" s="22">
        <v>25</v>
      </c>
      <c r="S53" s="22" t="s">
        <v>104</v>
      </c>
      <c r="T53" s="22" t="s">
        <v>73</v>
      </c>
      <c r="U53" s="128">
        <v>0</v>
      </c>
      <c r="V53" s="128">
        <v>144.63338624000002</v>
      </c>
      <c r="W53" s="128">
        <v>3629.7538188800008</v>
      </c>
      <c r="X53" s="127">
        <v>1</v>
      </c>
      <c r="Y53" s="127">
        <v>1</v>
      </c>
      <c r="Z53" s="128">
        <v>0</v>
      </c>
      <c r="AA53" s="128">
        <v>144.63338624000002</v>
      </c>
      <c r="AB53" s="127">
        <v>0</v>
      </c>
      <c r="AC53" s="127">
        <v>0.7</v>
      </c>
      <c r="AD53" s="160">
        <v>101.24337036800001</v>
      </c>
      <c r="AE53" s="164">
        <v>11542</v>
      </c>
      <c r="AF53" s="129">
        <v>11542</v>
      </c>
      <c r="AG53" s="129">
        <v>1168550.9807874563</v>
      </c>
      <c r="AH53" s="165">
        <v>1168550.9807874563</v>
      </c>
    </row>
    <row r="54" spans="2:34" hidden="1" x14ac:dyDescent="0.35">
      <c r="B54" s="180" t="s">
        <v>43</v>
      </c>
      <c r="C54" s="138" t="s">
        <v>201</v>
      </c>
      <c r="D54" s="22" t="s">
        <v>43</v>
      </c>
      <c r="E54" s="22" t="s">
        <v>81</v>
      </c>
      <c r="F54" s="22" t="s">
        <v>25</v>
      </c>
      <c r="G54" s="22" t="s">
        <v>212</v>
      </c>
      <c r="H54" s="22" t="s">
        <v>350</v>
      </c>
      <c r="I54" s="22" t="s">
        <v>28</v>
      </c>
      <c r="J54" s="125">
        <v>0</v>
      </c>
      <c r="K54" s="125">
        <v>0</v>
      </c>
      <c r="L54" s="125">
        <v>38.379977000000004</v>
      </c>
      <c r="M54" s="125">
        <v>965.22448700000007</v>
      </c>
      <c r="N54" s="125">
        <v>1087.3828570000001</v>
      </c>
      <c r="O54" s="125">
        <v>8.9600000000000009</v>
      </c>
      <c r="P54" s="126">
        <v>45963</v>
      </c>
      <c r="Q54" s="22"/>
      <c r="R54" s="22">
        <v>25</v>
      </c>
      <c r="S54" s="22" t="s">
        <v>104</v>
      </c>
      <c r="T54" s="22" t="s">
        <v>73</v>
      </c>
      <c r="U54" s="128">
        <v>0</v>
      </c>
      <c r="V54" s="128">
        <v>343.88459392000004</v>
      </c>
      <c r="W54" s="128">
        <v>8648.4114035200018</v>
      </c>
      <c r="X54" s="127">
        <v>1</v>
      </c>
      <c r="Y54" s="127">
        <v>1</v>
      </c>
      <c r="Z54" s="128">
        <v>0</v>
      </c>
      <c r="AA54" s="128">
        <v>343.88459392000004</v>
      </c>
      <c r="AB54" s="127">
        <v>0</v>
      </c>
      <c r="AC54" s="127">
        <v>0.7</v>
      </c>
      <c r="AD54" s="160">
        <v>240.71921574400002</v>
      </c>
      <c r="AE54" s="164">
        <v>11542</v>
      </c>
      <c r="AF54" s="129">
        <v>11542</v>
      </c>
      <c r="AG54" s="129">
        <v>2778381.1881172485</v>
      </c>
      <c r="AH54" s="165">
        <v>2778381.1881172485</v>
      </c>
    </row>
    <row r="55" spans="2:34" hidden="1" x14ac:dyDescent="0.35">
      <c r="B55" s="180" t="s">
        <v>43</v>
      </c>
      <c r="C55" s="138" t="s">
        <v>213</v>
      </c>
      <c r="D55" s="22" t="s">
        <v>43</v>
      </c>
      <c r="E55" s="22" t="s">
        <v>44</v>
      </c>
      <c r="F55" s="22" t="s">
        <v>214</v>
      </c>
      <c r="G55" s="22" t="s">
        <v>215</v>
      </c>
      <c r="H55" s="22" t="s">
        <v>216</v>
      </c>
      <c r="I55" s="22" t="s">
        <v>28</v>
      </c>
      <c r="J55" s="125">
        <v>7428</v>
      </c>
      <c r="K55" s="125">
        <v>7428</v>
      </c>
      <c r="L55" s="125">
        <v>7428</v>
      </c>
      <c r="M55" s="125">
        <v>6689.0379460000013</v>
      </c>
      <c r="N55" s="125">
        <v>5360.979018</v>
      </c>
      <c r="O55" s="125">
        <v>6.7486120730000003</v>
      </c>
      <c r="P55" s="126">
        <v>42878</v>
      </c>
      <c r="Q55" s="22" t="s">
        <v>217</v>
      </c>
      <c r="R55" s="22" t="s">
        <v>41</v>
      </c>
      <c r="S55" s="22" t="s">
        <v>57</v>
      </c>
      <c r="T55" s="22" t="s">
        <v>98</v>
      </c>
      <c r="U55" s="128">
        <v>50128.690478244003</v>
      </c>
      <c r="V55" s="128">
        <v>50128.690478244003</v>
      </c>
      <c r="W55" s="128">
        <v>45141.72223913073</v>
      </c>
      <c r="X55" s="127">
        <v>0.15</v>
      </c>
      <c r="Y55" s="127">
        <v>0.15</v>
      </c>
      <c r="Z55" s="128">
        <v>7519.3035717366001</v>
      </c>
      <c r="AA55" s="128">
        <v>7519.3035717366001</v>
      </c>
      <c r="AB55" s="127">
        <v>0.65</v>
      </c>
      <c r="AC55" s="127">
        <v>0.35</v>
      </c>
      <c r="AD55" s="160">
        <v>7519.3035717366001</v>
      </c>
      <c r="AE55" s="164">
        <v>11542</v>
      </c>
      <c r="AF55" s="129">
        <v>11542</v>
      </c>
      <c r="AG55" s="129">
        <v>86787801.824983835</v>
      </c>
      <c r="AH55" s="165">
        <v>86787801.824983835</v>
      </c>
    </row>
    <row r="56" spans="2:34" hidden="1" x14ac:dyDescent="0.35">
      <c r="B56" s="180" t="s">
        <v>43</v>
      </c>
      <c r="C56" s="138" t="s">
        <v>218</v>
      </c>
      <c r="D56" s="22" t="s">
        <v>219</v>
      </c>
      <c r="E56" s="22" t="s">
        <v>220</v>
      </c>
      <c r="F56" s="22" t="s">
        <v>25</v>
      </c>
      <c r="G56" s="22" t="s">
        <v>221</v>
      </c>
      <c r="H56" s="22" t="s">
        <v>222</v>
      </c>
      <c r="I56" s="22" t="s">
        <v>28</v>
      </c>
      <c r="J56" s="125">
        <v>0</v>
      </c>
      <c r="K56" s="125">
        <v>0</v>
      </c>
      <c r="L56" s="125">
        <v>1166.300886</v>
      </c>
      <c r="M56" s="125">
        <v>7346.5777780000008</v>
      </c>
      <c r="N56" s="125">
        <v>6188.1192009999995</v>
      </c>
      <c r="O56" s="125">
        <v>8.99</v>
      </c>
      <c r="P56" s="126">
        <v>45871</v>
      </c>
      <c r="Q56" s="22"/>
      <c r="R56" s="22">
        <v>25</v>
      </c>
      <c r="S56" s="22" t="s">
        <v>104</v>
      </c>
      <c r="T56" s="22" t="s">
        <v>73</v>
      </c>
      <c r="U56" s="128">
        <v>0</v>
      </c>
      <c r="V56" s="128">
        <v>10485.044965139999</v>
      </c>
      <c r="W56" s="128">
        <v>66045.73422422001</v>
      </c>
      <c r="X56" s="127">
        <v>1</v>
      </c>
      <c r="Y56" s="127">
        <v>1</v>
      </c>
      <c r="Z56" s="128">
        <v>0</v>
      </c>
      <c r="AA56" s="128">
        <v>10485.044965139999</v>
      </c>
      <c r="AB56" s="127">
        <v>0</v>
      </c>
      <c r="AC56" s="127">
        <v>0.7</v>
      </c>
      <c r="AD56" s="160">
        <v>7339.5314755979989</v>
      </c>
      <c r="AE56" s="164">
        <v>11542</v>
      </c>
      <c r="AF56" s="129">
        <v>11542</v>
      </c>
      <c r="AG56" s="129">
        <v>84712872.291352108</v>
      </c>
      <c r="AH56" s="165">
        <v>84712872.291352108</v>
      </c>
    </row>
    <row r="57" spans="2:34" hidden="1" x14ac:dyDescent="0.35">
      <c r="B57" s="180" t="s">
        <v>43</v>
      </c>
      <c r="C57" s="138" t="s">
        <v>223</v>
      </c>
      <c r="D57" s="22" t="s">
        <v>219</v>
      </c>
      <c r="E57" s="22" t="s">
        <v>220</v>
      </c>
      <c r="F57" s="22" t="s">
        <v>25</v>
      </c>
      <c r="G57" s="22" t="s">
        <v>224</v>
      </c>
      <c r="H57" s="22" t="s">
        <v>225</v>
      </c>
      <c r="I57" s="22" t="s">
        <v>28</v>
      </c>
      <c r="J57" s="125">
        <v>0</v>
      </c>
      <c r="K57" s="125">
        <v>0</v>
      </c>
      <c r="L57" s="125">
        <v>198.11348399999997</v>
      </c>
      <c r="M57" s="125">
        <v>1948.7076760000002</v>
      </c>
      <c r="N57" s="125">
        <v>2284.8349840000001</v>
      </c>
      <c r="O57" s="125">
        <v>9.0399999999999991</v>
      </c>
      <c r="P57" s="126">
        <v>45810</v>
      </c>
      <c r="Q57" s="22"/>
      <c r="R57" s="22">
        <v>25</v>
      </c>
      <c r="S57" s="22" t="s">
        <v>104</v>
      </c>
      <c r="T57" s="22" t="s">
        <v>73</v>
      </c>
      <c r="U57" s="128">
        <v>0</v>
      </c>
      <c r="V57" s="128">
        <v>1790.9458953599997</v>
      </c>
      <c r="W57" s="128">
        <v>17616.31739104</v>
      </c>
      <c r="X57" s="127">
        <v>1</v>
      </c>
      <c r="Y57" s="127">
        <v>1</v>
      </c>
      <c r="Z57" s="128">
        <v>0</v>
      </c>
      <c r="AA57" s="128">
        <v>1790.9458953599997</v>
      </c>
      <c r="AB57" s="127">
        <v>0</v>
      </c>
      <c r="AC57" s="127">
        <v>0.7</v>
      </c>
      <c r="AD57" s="160">
        <v>1253.6621267519997</v>
      </c>
      <c r="AE57" s="164">
        <v>11542</v>
      </c>
      <c r="AF57" s="129">
        <v>11542</v>
      </c>
      <c r="AG57" s="129">
        <v>14469768.266971581</v>
      </c>
      <c r="AH57" s="165">
        <v>14469768.266971581</v>
      </c>
    </row>
    <row r="58" spans="2:34" hidden="1" x14ac:dyDescent="0.35">
      <c r="B58" s="180" t="s">
        <v>43</v>
      </c>
      <c r="C58" s="138" t="s">
        <v>220</v>
      </c>
      <c r="D58" s="22" t="s">
        <v>43</v>
      </c>
      <c r="E58" s="22" t="s">
        <v>220</v>
      </c>
      <c r="F58" s="22" t="s">
        <v>25</v>
      </c>
      <c r="G58" s="22" t="s">
        <v>226</v>
      </c>
      <c r="H58" s="22" t="s">
        <v>227</v>
      </c>
      <c r="I58" s="22" t="s">
        <v>28</v>
      </c>
      <c r="J58" s="125">
        <v>3322.3435819999995</v>
      </c>
      <c r="K58" s="125">
        <v>3355.0743120000002</v>
      </c>
      <c r="L58" s="125">
        <v>3147.4107450000001</v>
      </c>
      <c r="M58" s="125">
        <v>3280.722076</v>
      </c>
      <c r="N58" s="125">
        <v>3132.4060289999998</v>
      </c>
      <c r="O58" s="125">
        <v>7.64</v>
      </c>
      <c r="P58" s="126">
        <v>44228</v>
      </c>
      <c r="Q58" s="22" t="s">
        <v>228</v>
      </c>
      <c r="R58" s="22" t="s">
        <v>41</v>
      </c>
      <c r="S58" s="22" t="s">
        <v>42</v>
      </c>
      <c r="T58" s="22" t="s">
        <v>42</v>
      </c>
      <c r="U58" s="128">
        <v>25632.76774368</v>
      </c>
      <c r="V58" s="128">
        <v>24046.218091800001</v>
      </c>
      <c r="W58" s="128">
        <v>25064.716660639999</v>
      </c>
      <c r="X58" s="127">
        <v>0.8</v>
      </c>
      <c r="Y58" s="127">
        <v>0.6</v>
      </c>
      <c r="Z58" s="128">
        <v>20506.214194944001</v>
      </c>
      <c r="AA58" s="128">
        <v>14427.730855080001</v>
      </c>
      <c r="AB58" s="127">
        <v>0.65</v>
      </c>
      <c r="AC58" s="127">
        <v>0.35</v>
      </c>
      <c r="AD58" s="160">
        <v>18378.7450259916</v>
      </c>
      <c r="AE58" s="164">
        <v>11542</v>
      </c>
      <c r="AF58" s="129">
        <v>11542</v>
      </c>
      <c r="AG58" s="129">
        <v>212127475.08999506</v>
      </c>
      <c r="AH58" s="165">
        <v>212127475.08999506</v>
      </c>
    </row>
    <row r="59" spans="2:34" hidden="1" x14ac:dyDescent="0.35">
      <c r="B59" s="180" t="s">
        <v>469</v>
      </c>
      <c r="C59" s="138" t="s">
        <v>229</v>
      </c>
      <c r="D59" s="22" t="s">
        <v>230</v>
      </c>
      <c r="E59" s="22" t="s">
        <v>24</v>
      </c>
      <c r="F59" s="22" t="s">
        <v>231</v>
      </c>
      <c r="G59" s="22" t="s">
        <v>232</v>
      </c>
      <c r="H59" s="22" t="s">
        <v>233</v>
      </c>
      <c r="I59" s="22" t="s">
        <v>28</v>
      </c>
      <c r="J59" s="125">
        <v>0</v>
      </c>
      <c r="K59" s="125">
        <v>63.996402999999994</v>
      </c>
      <c r="L59" s="125">
        <v>639.96898499999998</v>
      </c>
      <c r="M59" s="125">
        <v>520.41000900000006</v>
      </c>
      <c r="N59" s="125">
        <v>358.59682600000002</v>
      </c>
      <c r="O59" s="125">
        <v>9.9957261999999893</v>
      </c>
      <c r="P59" s="126">
        <v>45537</v>
      </c>
      <c r="Q59" s="22" t="s">
        <v>234</v>
      </c>
      <c r="R59" s="22">
        <v>24</v>
      </c>
      <c r="S59" s="22" t="s">
        <v>30</v>
      </c>
      <c r="T59" s="22" t="s">
        <v>31</v>
      </c>
      <c r="U59" s="128">
        <v>639.69052217285787</v>
      </c>
      <c r="V59" s="128">
        <v>6396.9547505519004</v>
      </c>
      <c r="W59" s="128">
        <v>5201.8759617035312</v>
      </c>
      <c r="X59" s="127">
        <v>1</v>
      </c>
      <c r="Y59" s="127">
        <v>1</v>
      </c>
      <c r="Z59" s="128">
        <v>639.69052217285787</v>
      </c>
      <c r="AA59" s="128">
        <v>6396.9547505519004</v>
      </c>
      <c r="AB59" s="127">
        <v>0.2</v>
      </c>
      <c r="AC59" s="127">
        <v>0.8</v>
      </c>
      <c r="AD59" s="160">
        <v>5245.5019048760923</v>
      </c>
      <c r="AE59" s="164">
        <v>21183</v>
      </c>
      <c r="AF59" s="129">
        <v>16362.5</v>
      </c>
      <c r="AG59" s="129">
        <v>111115466.85099027</v>
      </c>
      <c r="AH59" s="165">
        <v>85829524.918535054</v>
      </c>
    </row>
    <row r="60" spans="2:34" hidden="1" x14ac:dyDescent="0.35">
      <c r="B60" s="180" t="s">
        <v>469</v>
      </c>
      <c r="C60" s="138" t="s">
        <v>229</v>
      </c>
      <c r="D60" s="22" t="s">
        <v>230</v>
      </c>
      <c r="E60" s="22" t="s">
        <v>24</v>
      </c>
      <c r="F60" s="22" t="s">
        <v>235</v>
      </c>
      <c r="G60" s="22" t="s">
        <v>232</v>
      </c>
      <c r="H60" s="22" t="s">
        <v>233</v>
      </c>
      <c r="I60" s="22" t="s">
        <v>28</v>
      </c>
      <c r="J60" s="125">
        <v>0</v>
      </c>
      <c r="K60" s="125">
        <v>29.366517000000002</v>
      </c>
      <c r="L60" s="125">
        <v>264.60091699999998</v>
      </c>
      <c r="M60" s="125">
        <v>172.58931600000003</v>
      </c>
      <c r="N60" s="125">
        <v>85.653918000000004</v>
      </c>
      <c r="O60" s="125">
        <v>9.9957261999999893</v>
      </c>
      <c r="P60" s="126">
        <v>45537</v>
      </c>
      <c r="Q60" s="22" t="s">
        <v>234</v>
      </c>
      <c r="R60" s="22">
        <v>24</v>
      </c>
      <c r="S60" s="22" t="s">
        <v>30</v>
      </c>
      <c r="T60" s="22" t="s">
        <v>31</v>
      </c>
      <c r="U60" s="128">
        <v>293.53966337964511</v>
      </c>
      <c r="V60" s="128">
        <v>2644.8783186009223</v>
      </c>
      <c r="W60" s="128">
        <v>1725.1555477812776</v>
      </c>
      <c r="X60" s="127">
        <v>1</v>
      </c>
      <c r="Y60" s="127">
        <v>1</v>
      </c>
      <c r="Z60" s="128">
        <v>293.53966337964511</v>
      </c>
      <c r="AA60" s="128">
        <v>2644.8783186009223</v>
      </c>
      <c r="AB60" s="127">
        <v>0.2</v>
      </c>
      <c r="AC60" s="127">
        <v>0.8</v>
      </c>
      <c r="AD60" s="160">
        <v>2174.6105875566668</v>
      </c>
      <c r="AE60" s="164">
        <v>21183</v>
      </c>
      <c r="AF60" s="129">
        <v>16362.5</v>
      </c>
      <c r="AG60" s="129">
        <v>46064776.076212876</v>
      </c>
      <c r="AH60" s="165">
        <v>35582065.73889596</v>
      </c>
    </row>
    <row r="61" spans="2:34" hidden="1" x14ac:dyDescent="0.35">
      <c r="B61" s="180" t="s">
        <v>469</v>
      </c>
      <c r="C61" s="138" t="s">
        <v>229</v>
      </c>
      <c r="D61" s="22" t="s">
        <v>230</v>
      </c>
      <c r="E61" s="22" t="s">
        <v>24</v>
      </c>
      <c r="F61" s="22" t="s">
        <v>236</v>
      </c>
      <c r="G61" s="22" t="s">
        <v>232</v>
      </c>
      <c r="H61" s="22" t="s">
        <v>233</v>
      </c>
      <c r="I61" s="22" t="s">
        <v>28</v>
      </c>
      <c r="J61" s="125">
        <v>0</v>
      </c>
      <c r="K61" s="125">
        <v>68.870102000000003</v>
      </c>
      <c r="L61" s="125">
        <v>688.88256699999999</v>
      </c>
      <c r="M61" s="125">
        <v>565.11237800000004</v>
      </c>
      <c r="N61" s="125">
        <v>394.16998100000001</v>
      </c>
      <c r="O61" s="125">
        <v>9.9957261999999893</v>
      </c>
      <c r="P61" s="126">
        <v>45537</v>
      </c>
      <c r="Q61" s="22" t="s">
        <v>234</v>
      </c>
      <c r="R61" s="22">
        <v>24</v>
      </c>
      <c r="S61" s="22" t="s">
        <v>30</v>
      </c>
      <c r="T61" s="22" t="s">
        <v>31</v>
      </c>
      <c r="U61" s="128">
        <v>688.40668295807166</v>
      </c>
      <c r="V61" s="128">
        <v>6885.8815236851478</v>
      </c>
      <c r="W61" s="128">
        <v>5648.708602718898</v>
      </c>
      <c r="X61" s="127">
        <v>1</v>
      </c>
      <c r="Y61" s="127">
        <v>1</v>
      </c>
      <c r="Z61" s="128">
        <v>688.40668295807166</v>
      </c>
      <c r="AA61" s="128">
        <v>6885.8815236851478</v>
      </c>
      <c r="AB61" s="127">
        <v>0.2</v>
      </c>
      <c r="AC61" s="127">
        <v>0.8</v>
      </c>
      <c r="AD61" s="160">
        <v>5646.3865555397324</v>
      </c>
      <c r="AE61" s="164">
        <v>21183</v>
      </c>
      <c r="AF61" s="129">
        <v>16362.5</v>
      </c>
      <c r="AG61" s="129">
        <v>119607406.40599816</v>
      </c>
      <c r="AH61" s="165">
        <v>92389000.015018865</v>
      </c>
    </row>
    <row r="62" spans="2:34" hidden="1" x14ac:dyDescent="0.35">
      <c r="B62" s="180" t="s">
        <v>469</v>
      </c>
      <c r="C62" s="138" t="s">
        <v>229</v>
      </c>
      <c r="D62" s="22" t="s">
        <v>230</v>
      </c>
      <c r="E62" s="22" t="s">
        <v>24</v>
      </c>
      <c r="F62" s="22" t="s">
        <v>25</v>
      </c>
      <c r="G62" s="22" t="s">
        <v>232</v>
      </c>
      <c r="H62" s="22" t="s">
        <v>233</v>
      </c>
      <c r="I62" s="22" t="s">
        <v>28</v>
      </c>
      <c r="J62" s="125">
        <v>0</v>
      </c>
      <c r="K62" s="125">
        <v>86.897588000000013</v>
      </c>
      <c r="L62" s="125">
        <v>869.22614599999997</v>
      </c>
      <c r="M62" s="125">
        <v>713.64667799999995</v>
      </c>
      <c r="N62" s="125">
        <v>464.87222999999994</v>
      </c>
      <c r="O62" s="125">
        <v>9.9957261999999893</v>
      </c>
      <c r="P62" s="126">
        <v>45537</v>
      </c>
      <c r="Q62" s="22" t="s">
        <v>234</v>
      </c>
      <c r="R62" s="22">
        <v>24</v>
      </c>
      <c r="S62" s="22" t="s">
        <v>30</v>
      </c>
      <c r="T62" s="22" t="s">
        <v>31</v>
      </c>
      <c r="U62" s="128">
        <v>868.60449708840486</v>
      </c>
      <c r="V62" s="128">
        <v>8688.5465612972148</v>
      </c>
      <c r="W62" s="128">
        <v>7133.4167968275551</v>
      </c>
      <c r="X62" s="127">
        <v>1</v>
      </c>
      <c r="Y62" s="127">
        <v>1</v>
      </c>
      <c r="Z62" s="128">
        <v>868.60449708840486</v>
      </c>
      <c r="AA62" s="128">
        <v>8688.5465612972148</v>
      </c>
      <c r="AB62" s="127">
        <v>0.2</v>
      </c>
      <c r="AC62" s="127">
        <v>0.8</v>
      </c>
      <c r="AD62" s="160">
        <v>7124.5581484554532</v>
      </c>
      <c r="AE62" s="164">
        <v>21183</v>
      </c>
      <c r="AF62" s="129">
        <v>16362.5</v>
      </c>
      <c r="AG62" s="129">
        <v>150919515.25873187</v>
      </c>
      <c r="AH62" s="165">
        <v>116575582.70410235</v>
      </c>
    </row>
    <row r="63" spans="2:34" hidden="1" x14ac:dyDescent="0.35">
      <c r="B63" s="180" t="s">
        <v>469</v>
      </c>
      <c r="C63" s="138" t="s">
        <v>229</v>
      </c>
      <c r="D63" s="22" t="s">
        <v>230</v>
      </c>
      <c r="E63" s="22" t="s">
        <v>24</v>
      </c>
      <c r="F63" s="22" t="s">
        <v>231</v>
      </c>
      <c r="G63" s="22" t="s">
        <v>232</v>
      </c>
      <c r="H63" s="22" t="s">
        <v>233</v>
      </c>
      <c r="I63" s="22" t="s">
        <v>28</v>
      </c>
      <c r="J63" s="125">
        <v>0</v>
      </c>
      <c r="K63" s="125">
        <v>69.074083999999999</v>
      </c>
      <c r="L63" s="125">
        <v>355.83328400000005</v>
      </c>
      <c r="M63" s="125">
        <v>305.73371900000001</v>
      </c>
      <c r="N63" s="125">
        <v>239.21171999999999</v>
      </c>
      <c r="O63" s="125">
        <v>9.9957261999999893</v>
      </c>
      <c r="P63" s="126">
        <v>45475</v>
      </c>
      <c r="Q63" s="22" t="s">
        <v>234</v>
      </c>
      <c r="R63" s="22">
        <v>24</v>
      </c>
      <c r="S63" s="22" t="s">
        <v>30</v>
      </c>
      <c r="T63" s="22" t="s">
        <v>31</v>
      </c>
      <c r="U63" s="128">
        <v>690.4456311798001</v>
      </c>
      <c r="V63" s="128">
        <v>3556.8120797108377</v>
      </c>
      <c r="W63" s="128">
        <v>3056.0305452317348</v>
      </c>
      <c r="X63" s="127">
        <v>1</v>
      </c>
      <c r="Y63" s="127">
        <v>1</v>
      </c>
      <c r="Z63" s="128">
        <v>690.4456311798001</v>
      </c>
      <c r="AA63" s="128">
        <v>3556.8120797108377</v>
      </c>
      <c r="AB63" s="127">
        <v>0.3</v>
      </c>
      <c r="AC63" s="127">
        <v>0.7</v>
      </c>
      <c r="AD63" s="160">
        <v>2696.9021451515264</v>
      </c>
      <c r="AE63" s="164">
        <v>21183</v>
      </c>
      <c r="AF63" s="129">
        <v>16362.5</v>
      </c>
      <c r="AG63" s="129">
        <v>57128478.140744783</v>
      </c>
      <c r="AH63" s="165">
        <v>44128061.350041851</v>
      </c>
    </row>
    <row r="64" spans="2:34" hidden="1" x14ac:dyDescent="0.35">
      <c r="B64" s="180" t="s">
        <v>469</v>
      </c>
      <c r="C64" s="138" t="s">
        <v>229</v>
      </c>
      <c r="D64" s="22" t="s">
        <v>230</v>
      </c>
      <c r="E64" s="22" t="s">
        <v>24</v>
      </c>
      <c r="F64" s="22" t="s">
        <v>235</v>
      </c>
      <c r="G64" s="22" t="s">
        <v>232</v>
      </c>
      <c r="H64" s="22" t="s">
        <v>233</v>
      </c>
      <c r="I64" s="22" t="s">
        <v>28</v>
      </c>
      <c r="J64" s="125">
        <v>0</v>
      </c>
      <c r="K64" s="125">
        <v>29.921585</v>
      </c>
      <c r="L64" s="125">
        <v>157.18203099999999</v>
      </c>
      <c r="M64" s="125">
        <v>123.944819</v>
      </c>
      <c r="N64" s="125">
        <v>88.518537000000009</v>
      </c>
      <c r="O64" s="125">
        <v>9.9957261999999893</v>
      </c>
      <c r="P64" s="126">
        <v>45475</v>
      </c>
      <c r="Q64" s="22" t="s">
        <v>234</v>
      </c>
      <c r="R64" s="22">
        <v>24</v>
      </c>
      <c r="S64" s="22" t="s">
        <v>30</v>
      </c>
      <c r="T64" s="22" t="s">
        <v>31</v>
      </c>
      <c r="U64" s="128">
        <v>299.08797113002669</v>
      </c>
      <c r="V64" s="128">
        <v>1571.1485454359104</v>
      </c>
      <c r="W64" s="128">
        <v>1238.9184746325564</v>
      </c>
      <c r="X64" s="127">
        <v>1</v>
      </c>
      <c r="Y64" s="127">
        <v>1</v>
      </c>
      <c r="Z64" s="128">
        <v>299.08797113002669</v>
      </c>
      <c r="AA64" s="128">
        <v>1571.1485454359104</v>
      </c>
      <c r="AB64" s="127">
        <v>0.3</v>
      </c>
      <c r="AC64" s="127">
        <v>0.7</v>
      </c>
      <c r="AD64" s="160">
        <v>1189.5303731441452</v>
      </c>
      <c r="AE64" s="164">
        <v>21183</v>
      </c>
      <c r="AF64" s="129">
        <v>16362.5</v>
      </c>
      <c r="AG64" s="129">
        <v>25197821.894312426</v>
      </c>
      <c r="AH64" s="165">
        <v>19463690.730571076</v>
      </c>
    </row>
    <row r="65" spans="2:34" hidden="1" x14ac:dyDescent="0.35">
      <c r="B65" s="180" t="s">
        <v>469</v>
      </c>
      <c r="C65" s="138" t="s">
        <v>229</v>
      </c>
      <c r="D65" s="22" t="s">
        <v>230</v>
      </c>
      <c r="E65" s="22" t="s">
        <v>24</v>
      </c>
      <c r="F65" s="22" t="s">
        <v>236</v>
      </c>
      <c r="G65" s="22" t="s">
        <v>232</v>
      </c>
      <c r="H65" s="22" t="s">
        <v>233</v>
      </c>
      <c r="I65" s="22" t="s">
        <v>28</v>
      </c>
      <c r="J65" s="125">
        <v>0</v>
      </c>
      <c r="K65" s="125">
        <v>76.039956999999987</v>
      </c>
      <c r="L65" s="125">
        <v>391.71779700000002</v>
      </c>
      <c r="M65" s="125">
        <v>278.56619700000005</v>
      </c>
      <c r="N65" s="125">
        <v>174.45081400000004</v>
      </c>
      <c r="O65" s="125">
        <v>9.9957261999999893</v>
      </c>
      <c r="P65" s="126">
        <v>45475</v>
      </c>
      <c r="Q65" s="22" t="s">
        <v>234</v>
      </c>
      <c r="R65" s="22">
        <v>24</v>
      </c>
      <c r="S65" s="22" t="s">
        <v>30</v>
      </c>
      <c r="T65" s="22" t="s">
        <v>31</v>
      </c>
      <c r="U65" s="128">
        <v>760.07459043177244</v>
      </c>
      <c r="V65" s="128">
        <v>3915.5038464791774</v>
      </c>
      <c r="W65" s="128">
        <v>2784.4714337872588</v>
      </c>
      <c r="X65" s="127">
        <v>1</v>
      </c>
      <c r="Y65" s="127">
        <v>1</v>
      </c>
      <c r="Z65" s="128">
        <v>760.07459043177244</v>
      </c>
      <c r="AA65" s="128">
        <v>3915.5038464791774</v>
      </c>
      <c r="AB65" s="127">
        <v>0.3</v>
      </c>
      <c r="AC65" s="127">
        <v>0.7</v>
      </c>
      <c r="AD65" s="160">
        <v>2968.8750696649558</v>
      </c>
      <c r="AE65" s="164">
        <v>21183</v>
      </c>
      <c r="AF65" s="129">
        <v>16362.5</v>
      </c>
      <c r="AG65" s="129">
        <v>62889680.600712761</v>
      </c>
      <c r="AH65" s="165">
        <v>48578218.327392839</v>
      </c>
    </row>
    <row r="66" spans="2:34" hidden="1" x14ac:dyDescent="0.35">
      <c r="B66" s="180" t="s">
        <v>469</v>
      </c>
      <c r="C66" s="138" t="s">
        <v>229</v>
      </c>
      <c r="D66" s="22" t="s">
        <v>230</v>
      </c>
      <c r="E66" s="22" t="s">
        <v>24</v>
      </c>
      <c r="F66" s="22" t="s">
        <v>25</v>
      </c>
      <c r="G66" s="22" t="s">
        <v>232</v>
      </c>
      <c r="H66" s="22" t="s">
        <v>233</v>
      </c>
      <c r="I66" s="22" t="s">
        <v>28</v>
      </c>
      <c r="J66" s="125">
        <v>0</v>
      </c>
      <c r="K66" s="125">
        <v>130.151994</v>
      </c>
      <c r="L66" s="125">
        <v>670.47450500000002</v>
      </c>
      <c r="M66" s="125">
        <v>496.04236599999996</v>
      </c>
      <c r="N66" s="125">
        <v>336.10957200000001</v>
      </c>
      <c r="O66" s="125">
        <v>9.9957261999999893</v>
      </c>
      <c r="P66" s="126">
        <v>45475</v>
      </c>
      <c r="Q66" s="22" t="s">
        <v>234</v>
      </c>
      <c r="R66" s="22">
        <v>24</v>
      </c>
      <c r="S66" s="22" t="s">
        <v>30</v>
      </c>
      <c r="T66" s="22" t="s">
        <v>31</v>
      </c>
      <c r="U66" s="128">
        <v>1300.9636964080414</v>
      </c>
      <c r="V66" s="128">
        <v>6701.8795760605244</v>
      </c>
      <c r="W66" s="128">
        <v>4958.3036741361839</v>
      </c>
      <c r="X66" s="127">
        <v>1</v>
      </c>
      <c r="Y66" s="127">
        <v>1</v>
      </c>
      <c r="Z66" s="128">
        <v>1300.9636964080414</v>
      </c>
      <c r="AA66" s="128">
        <v>6701.8795760605244</v>
      </c>
      <c r="AB66" s="127">
        <v>0.3</v>
      </c>
      <c r="AC66" s="127">
        <v>0.7</v>
      </c>
      <c r="AD66" s="160">
        <v>5081.6048121647791</v>
      </c>
      <c r="AE66" s="164">
        <v>21183</v>
      </c>
      <c r="AF66" s="129">
        <v>16362.5</v>
      </c>
      <c r="AG66" s="129">
        <v>107643634.73608652</v>
      </c>
      <c r="AH66" s="165">
        <v>83147758.739046201</v>
      </c>
    </row>
    <row r="67" spans="2:34" hidden="1" x14ac:dyDescent="0.35">
      <c r="B67" s="180" t="s">
        <v>43</v>
      </c>
      <c r="C67" s="138" t="s">
        <v>229</v>
      </c>
      <c r="D67" s="22" t="s">
        <v>237</v>
      </c>
      <c r="E67" s="22">
        <v>1</v>
      </c>
      <c r="F67" s="22" t="s">
        <v>231</v>
      </c>
      <c r="G67" s="22" t="s">
        <v>238</v>
      </c>
      <c r="H67" s="22" t="s">
        <v>239</v>
      </c>
      <c r="I67" s="22" t="s">
        <v>28</v>
      </c>
      <c r="J67" s="125">
        <v>0</v>
      </c>
      <c r="K67" s="125">
        <v>0</v>
      </c>
      <c r="L67" s="125">
        <v>0</v>
      </c>
      <c r="M67" s="125">
        <v>0</v>
      </c>
      <c r="N67" s="125">
        <v>419.541043</v>
      </c>
      <c r="O67" s="125">
        <v>7.8571900640000001</v>
      </c>
      <c r="P67" s="126">
        <v>46540</v>
      </c>
      <c r="Q67" s="22"/>
      <c r="R67" s="22" t="s">
        <v>103</v>
      </c>
      <c r="S67" s="22" t="s">
        <v>104</v>
      </c>
      <c r="T67" s="22" t="s">
        <v>72</v>
      </c>
      <c r="U67" s="128">
        <v>0</v>
      </c>
      <c r="V67" s="128">
        <v>0</v>
      </c>
      <c r="W67" s="128">
        <v>0</v>
      </c>
      <c r="X67" s="127" t="s">
        <v>72</v>
      </c>
      <c r="Y67" s="127" t="s">
        <v>72</v>
      </c>
      <c r="Z67" s="128" t="s">
        <v>32</v>
      </c>
      <c r="AA67" s="128" t="s">
        <v>32</v>
      </c>
      <c r="AB67" s="127" t="s">
        <v>72</v>
      </c>
      <c r="AC67" s="127" t="s">
        <v>72</v>
      </c>
      <c r="AD67" s="160">
        <v>0</v>
      </c>
      <c r="AE67" s="164">
        <v>11542</v>
      </c>
      <c r="AF67" s="129">
        <v>11542</v>
      </c>
      <c r="AG67" s="129">
        <v>0</v>
      </c>
      <c r="AH67" s="165">
        <v>0</v>
      </c>
    </row>
    <row r="68" spans="2:34" hidden="1" x14ac:dyDescent="0.35">
      <c r="B68" s="180" t="s">
        <v>43</v>
      </c>
      <c r="C68" s="138" t="s">
        <v>229</v>
      </c>
      <c r="D68" s="22" t="s">
        <v>237</v>
      </c>
      <c r="E68" s="22">
        <v>1</v>
      </c>
      <c r="F68" s="22" t="s">
        <v>236</v>
      </c>
      <c r="G68" s="22" t="s">
        <v>238</v>
      </c>
      <c r="H68" s="22" t="s">
        <v>239</v>
      </c>
      <c r="I68" s="22" t="s">
        <v>28</v>
      </c>
      <c r="J68" s="125">
        <v>0</v>
      </c>
      <c r="K68" s="125">
        <v>0</v>
      </c>
      <c r="L68" s="125">
        <v>0</v>
      </c>
      <c r="M68" s="125">
        <v>0</v>
      </c>
      <c r="N68" s="125">
        <v>309.944684</v>
      </c>
      <c r="O68" s="125">
        <v>7.8571900640000001</v>
      </c>
      <c r="P68" s="126">
        <v>46540</v>
      </c>
      <c r="Q68" s="22"/>
      <c r="R68" s="22" t="s">
        <v>103</v>
      </c>
      <c r="S68" s="22" t="s">
        <v>104</v>
      </c>
      <c r="T68" s="22" t="s">
        <v>72</v>
      </c>
      <c r="U68" s="128">
        <v>0</v>
      </c>
      <c r="V68" s="128">
        <v>0</v>
      </c>
      <c r="W68" s="128">
        <v>0</v>
      </c>
      <c r="X68" s="127" t="s">
        <v>72</v>
      </c>
      <c r="Y68" s="127" t="s">
        <v>72</v>
      </c>
      <c r="Z68" s="128" t="s">
        <v>32</v>
      </c>
      <c r="AA68" s="128" t="s">
        <v>32</v>
      </c>
      <c r="AB68" s="127" t="s">
        <v>72</v>
      </c>
      <c r="AC68" s="127" t="s">
        <v>72</v>
      </c>
      <c r="AD68" s="160">
        <v>0</v>
      </c>
      <c r="AE68" s="164">
        <v>11542</v>
      </c>
      <c r="AF68" s="129">
        <v>11542</v>
      </c>
      <c r="AG68" s="129">
        <v>0</v>
      </c>
      <c r="AH68" s="165">
        <v>0</v>
      </c>
    </row>
    <row r="69" spans="2:34" hidden="1" x14ac:dyDescent="0.35">
      <c r="B69" s="180" t="s">
        <v>43</v>
      </c>
      <c r="C69" s="138" t="s">
        <v>229</v>
      </c>
      <c r="D69" s="22" t="s">
        <v>237</v>
      </c>
      <c r="E69" s="22">
        <v>1</v>
      </c>
      <c r="F69" s="22" t="s">
        <v>25</v>
      </c>
      <c r="G69" s="22" t="s">
        <v>238</v>
      </c>
      <c r="H69" s="22" t="s">
        <v>239</v>
      </c>
      <c r="I69" s="22" t="s">
        <v>28</v>
      </c>
      <c r="J69" s="125">
        <v>0</v>
      </c>
      <c r="K69" s="125">
        <v>0</v>
      </c>
      <c r="L69" s="125">
        <v>0</v>
      </c>
      <c r="M69" s="125">
        <v>0</v>
      </c>
      <c r="N69" s="125">
        <v>708.73760000000004</v>
      </c>
      <c r="O69" s="125">
        <v>7.8571900640000001</v>
      </c>
      <c r="P69" s="126">
        <v>46540</v>
      </c>
      <c r="Q69" s="22"/>
      <c r="R69" s="22" t="s">
        <v>103</v>
      </c>
      <c r="S69" s="22" t="s">
        <v>104</v>
      </c>
      <c r="T69" s="22" t="s">
        <v>72</v>
      </c>
      <c r="U69" s="128">
        <v>0</v>
      </c>
      <c r="V69" s="128">
        <v>0</v>
      </c>
      <c r="W69" s="128">
        <v>0</v>
      </c>
      <c r="X69" s="127" t="s">
        <v>72</v>
      </c>
      <c r="Y69" s="127" t="s">
        <v>72</v>
      </c>
      <c r="Z69" s="128" t="s">
        <v>32</v>
      </c>
      <c r="AA69" s="128" t="s">
        <v>32</v>
      </c>
      <c r="AB69" s="127" t="s">
        <v>72</v>
      </c>
      <c r="AC69" s="127" t="s">
        <v>72</v>
      </c>
      <c r="AD69" s="160">
        <v>0</v>
      </c>
      <c r="AE69" s="164">
        <v>11542</v>
      </c>
      <c r="AF69" s="129">
        <v>11542</v>
      </c>
      <c r="AG69" s="129">
        <v>0</v>
      </c>
      <c r="AH69" s="165">
        <v>0</v>
      </c>
    </row>
    <row r="70" spans="2:34" hidden="1" x14ac:dyDescent="0.35">
      <c r="B70" s="180" t="s">
        <v>43</v>
      </c>
      <c r="C70" s="138" t="s">
        <v>229</v>
      </c>
      <c r="D70" s="22" t="s">
        <v>240</v>
      </c>
      <c r="E70" s="22">
        <v>1</v>
      </c>
      <c r="F70" s="22" t="s">
        <v>235</v>
      </c>
      <c r="G70" s="22" t="s">
        <v>241</v>
      </c>
      <c r="H70" s="22" t="s">
        <v>239</v>
      </c>
      <c r="I70" s="22" t="s">
        <v>28</v>
      </c>
      <c r="J70" s="125">
        <v>0</v>
      </c>
      <c r="K70" s="125">
        <v>0</v>
      </c>
      <c r="L70" s="125">
        <v>0</v>
      </c>
      <c r="M70" s="125">
        <v>227.226832</v>
      </c>
      <c r="N70" s="125">
        <v>810.12677299999984</v>
      </c>
      <c r="O70" s="125">
        <v>7.8571900640000001</v>
      </c>
      <c r="P70" s="126">
        <v>46175</v>
      </c>
      <c r="Q70" s="22"/>
      <c r="R70" s="22" t="s">
        <v>103</v>
      </c>
      <c r="S70" s="22" t="s">
        <v>104</v>
      </c>
      <c r="T70" s="22" t="s">
        <v>72</v>
      </c>
      <c r="U70" s="128">
        <v>0</v>
      </c>
      <c r="V70" s="128">
        <v>0</v>
      </c>
      <c r="W70" s="128">
        <v>1785.3644066645973</v>
      </c>
      <c r="X70" s="127" t="s">
        <v>72</v>
      </c>
      <c r="Y70" s="127" t="s">
        <v>72</v>
      </c>
      <c r="Z70" s="128" t="s">
        <v>32</v>
      </c>
      <c r="AA70" s="128" t="s">
        <v>32</v>
      </c>
      <c r="AB70" s="127" t="s">
        <v>72</v>
      </c>
      <c r="AC70" s="127" t="s">
        <v>72</v>
      </c>
      <c r="AD70" s="160">
        <v>0</v>
      </c>
      <c r="AE70" s="164">
        <v>11542</v>
      </c>
      <c r="AF70" s="129">
        <v>11542</v>
      </c>
      <c r="AG70" s="129">
        <v>0</v>
      </c>
      <c r="AH70" s="165">
        <v>0</v>
      </c>
    </row>
    <row r="71" spans="2:34" hidden="1" x14ac:dyDescent="0.35">
      <c r="B71" s="180" t="s">
        <v>43</v>
      </c>
      <c r="C71" s="138" t="s">
        <v>229</v>
      </c>
      <c r="D71" s="22" t="s">
        <v>240</v>
      </c>
      <c r="E71" s="22">
        <v>1</v>
      </c>
      <c r="F71" s="22" t="s">
        <v>235</v>
      </c>
      <c r="G71" s="22" t="s">
        <v>241</v>
      </c>
      <c r="H71" s="22" t="s">
        <v>239</v>
      </c>
      <c r="I71" s="22" t="s">
        <v>28</v>
      </c>
      <c r="J71" s="125">
        <v>0</v>
      </c>
      <c r="K71" s="125">
        <v>0</v>
      </c>
      <c r="L71" s="125">
        <v>0</v>
      </c>
      <c r="M71" s="125">
        <v>25.271135000000001</v>
      </c>
      <c r="N71" s="125">
        <v>90.098615000000009</v>
      </c>
      <c r="O71" s="125">
        <v>7.8571900640000001</v>
      </c>
      <c r="P71" s="126">
        <v>46175</v>
      </c>
      <c r="Q71" s="22"/>
      <c r="R71" s="22" t="s">
        <v>103</v>
      </c>
      <c r="S71" s="22" t="s">
        <v>104</v>
      </c>
      <c r="T71" s="22" t="s">
        <v>72</v>
      </c>
      <c r="U71" s="128">
        <v>0</v>
      </c>
      <c r="V71" s="128">
        <v>0</v>
      </c>
      <c r="W71" s="128">
        <v>198.56011082800265</v>
      </c>
      <c r="X71" s="127" t="s">
        <v>72</v>
      </c>
      <c r="Y71" s="127" t="s">
        <v>72</v>
      </c>
      <c r="Z71" s="128" t="s">
        <v>32</v>
      </c>
      <c r="AA71" s="128" t="s">
        <v>32</v>
      </c>
      <c r="AB71" s="127" t="s">
        <v>72</v>
      </c>
      <c r="AC71" s="127" t="s">
        <v>72</v>
      </c>
      <c r="AD71" s="160">
        <v>0</v>
      </c>
      <c r="AE71" s="164">
        <v>11542</v>
      </c>
      <c r="AF71" s="129">
        <v>11542</v>
      </c>
      <c r="AG71" s="129">
        <v>0</v>
      </c>
      <c r="AH71" s="165">
        <v>0</v>
      </c>
    </row>
    <row r="72" spans="2:34" hidden="1" x14ac:dyDescent="0.35">
      <c r="B72" s="180" t="s">
        <v>43</v>
      </c>
      <c r="C72" s="138" t="s">
        <v>229</v>
      </c>
      <c r="D72" s="22" t="s">
        <v>242</v>
      </c>
      <c r="E72" s="22" t="s">
        <v>112</v>
      </c>
      <c r="F72" s="22" t="s">
        <v>25</v>
      </c>
      <c r="G72" s="22" t="s">
        <v>243</v>
      </c>
      <c r="H72" s="22" t="s">
        <v>244</v>
      </c>
      <c r="I72" s="22" t="s">
        <v>28</v>
      </c>
      <c r="J72" s="125">
        <v>118.349977</v>
      </c>
      <c r="K72" s="125">
        <v>1114.0766160000001</v>
      </c>
      <c r="L72" s="125">
        <v>823.21580399999993</v>
      </c>
      <c r="M72" s="125">
        <v>750.50767900000005</v>
      </c>
      <c r="N72" s="125">
        <v>655.63745800000004</v>
      </c>
      <c r="O72" s="125">
        <v>3</v>
      </c>
      <c r="P72" s="126">
        <v>45201</v>
      </c>
      <c r="Q72" s="22" t="s">
        <v>245</v>
      </c>
      <c r="R72" s="22" t="s">
        <v>41</v>
      </c>
      <c r="S72" s="22" t="s">
        <v>79</v>
      </c>
      <c r="T72" s="22" t="s">
        <v>80</v>
      </c>
      <c r="U72" s="128">
        <v>3342.2298479999999</v>
      </c>
      <c r="V72" s="128">
        <v>2469.6474119999998</v>
      </c>
      <c r="W72" s="128">
        <v>2251.5230369999999</v>
      </c>
      <c r="X72" s="127">
        <v>1</v>
      </c>
      <c r="Y72" s="127">
        <v>0.8</v>
      </c>
      <c r="Z72" s="128">
        <v>3342.2298479999999</v>
      </c>
      <c r="AA72" s="128">
        <v>1975.7179295999999</v>
      </c>
      <c r="AB72" s="127">
        <v>0.65</v>
      </c>
      <c r="AC72" s="127">
        <v>0.35</v>
      </c>
      <c r="AD72" s="160">
        <v>2863.9506765599999</v>
      </c>
      <c r="AE72" s="164">
        <v>11542</v>
      </c>
      <c r="AF72" s="129">
        <v>11542</v>
      </c>
      <c r="AG72" s="129">
        <v>33055718.708855521</v>
      </c>
      <c r="AH72" s="165">
        <v>33055718.708855521</v>
      </c>
    </row>
    <row r="73" spans="2:34" hidden="1" x14ac:dyDescent="0.35">
      <c r="B73" s="180" t="s">
        <v>43</v>
      </c>
      <c r="C73" s="138" t="s">
        <v>229</v>
      </c>
      <c r="D73" s="22" t="s">
        <v>242</v>
      </c>
      <c r="E73" s="22" t="s">
        <v>157</v>
      </c>
      <c r="F73" s="22" t="s">
        <v>25</v>
      </c>
      <c r="G73" s="22" t="s">
        <v>246</v>
      </c>
      <c r="H73" s="22" t="s">
        <v>244</v>
      </c>
      <c r="I73" s="22" t="s">
        <v>28</v>
      </c>
      <c r="J73" s="125">
        <v>185.044645</v>
      </c>
      <c r="K73" s="125">
        <v>2612.760765</v>
      </c>
      <c r="L73" s="125">
        <v>2415.32575</v>
      </c>
      <c r="M73" s="125">
        <v>2245.1072389999999</v>
      </c>
      <c r="N73" s="125">
        <v>1966.3459979999998</v>
      </c>
      <c r="O73" s="125">
        <v>8.99</v>
      </c>
      <c r="P73" s="126">
        <v>45201</v>
      </c>
      <c r="Q73" s="22" t="s">
        <v>245</v>
      </c>
      <c r="R73" s="22" t="s">
        <v>41</v>
      </c>
      <c r="S73" s="22" t="s">
        <v>79</v>
      </c>
      <c r="T73" s="22" t="s">
        <v>80</v>
      </c>
      <c r="U73" s="128">
        <v>23488.719277349999</v>
      </c>
      <c r="V73" s="128">
        <v>21713.778492500001</v>
      </c>
      <c r="W73" s="128">
        <v>20183.514078609998</v>
      </c>
      <c r="X73" s="127">
        <v>1</v>
      </c>
      <c r="Y73" s="127">
        <v>0.8</v>
      </c>
      <c r="Z73" s="128">
        <v>23488.719277349999</v>
      </c>
      <c r="AA73" s="128">
        <v>17371.022794</v>
      </c>
      <c r="AB73" s="127">
        <v>0.65</v>
      </c>
      <c r="AC73" s="127">
        <v>0.35</v>
      </c>
      <c r="AD73" s="160">
        <v>21347.525508177499</v>
      </c>
      <c r="AE73" s="164">
        <v>11542</v>
      </c>
      <c r="AF73" s="129">
        <v>11542</v>
      </c>
      <c r="AG73" s="129">
        <v>246393139.41538471</v>
      </c>
      <c r="AH73" s="165">
        <v>246393139.41538471</v>
      </c>
    </row>
    <row r="74" spans="2:34" hidden="1" x14ac:dyDescent="0.35">
      <c r="B74" s="180" t="s">
        <v>43</v>
      </c>
      <c r="C74" s="138" t="s">
        <v>229</v>
      </c>
      <c r="D74" s="22" t="s">
        <v>247</v>
      </c>
      <c r="E74" s="22" t="s">
        <v>248</v>
      </c>
      <c r="F74" s="22" t="s">
        <v>25</v>
      </c>
      <c r="G74" s="22" t="s">
        <v>249</v>
      </c>
      <c r="H74" s="22" t="s">
        <v>250</v>
      </c>
      <c r="I74" s="22" t="s">
        <v>28</v>
      </c>
      <c r="J74" s="125">
        <v>0</v>
      </c>
      <c r="K74" s="125">
        <v>0</v>
      </c>
      <c r="L74" s="125">
        <v>11.404455</v>
      </c>
      <c r="M74" s="125">
        <v>1811.6339379999999</v>
      </c>
      <c r="N74" s="125">
        <v>2812.8033299999997</v>
      </c>
      <c r="O74" s="125">
        <v>10</v>
      </c>
      <c r="P74" s="126">
        <v>45993</v>
      </c>
      <c r="Q74" s="22"/>
      <c r="R74" s="22">
        <v>25</v>
      </c>
      <c r="S74" s="22" t="s">
        <v>104</v>
      </c>
      <c r="T74" s="22" t="s">
        <v>73</v>
      </c>
      <c r="U74" s="128">
        <v>0</v>
      </c>
      <c r="V74" s="128">
        <v>114.04455</v>
      </c>
      <c r="W74" s="128">
        <v>18116.339379999998</v>
      </c>
      <c r="X74" s="127">
        <v>1</v>
      </c>
      <c r="Y74" s="127">
        <v>1</v>
      </c>
      <c r="Z74" s="128">
        <v>0</v>
      </c>
      <c r="AA74" s="128">
        <v>114.04455</v>
      </c>
      <c r="AB74" s="127">
        <v>0</v>
      </c>
      <c r="AC74" s="127">
        <v>0.7</v>
      </c>
      <c r="AD74" s="160">
        <v>79.831184999999991</v>
      </c>
      <c r="AE74" s="164">
        <v>11542</v>
      </c>
      <c r="AF74" s="129">
        <v>11542</v>
      </c>
      <c r="AG74" s="129">
        <v>921411.53726999986</v>
      </c>
      <c r="AH74" s="165">
        <v>921411.53726999986</v>
      </c>
    </row>
    <row r="75" spans="2:34" hidden="1" x14ac:dyDescent="0.35">
      <c r="B75" s="180" t="s">
        <v>43</v>
      </c>
      <c r="C75" s="138" t="s">
        <v>229</v>
      </c>
      <c r="D75" s="22" t="s">
        <v>75</v>
      </c>
      <c r="E75" s="22" t="s">
        <v>24</v>
      </c>
      <c r="F75" s="22" t="s">
        <v>231</v>
      </c>
      <c r="G75" s="22" t="s">
        <v>257</v>
      </c>
      <c r="H75" s="22" t="s">
        <v>258</v>
      </c>
      <c r="I75" s="22" t="s">
        <v>28</v>
      </c>
      <c r="J75" s="125">
        <v>4260.2674160000006</v>
      </c>
      <c r="K75" s="125">
        <v>3828.2536179999997</v>
      </c>
      <c r="L75" s="125">
        <v>2323.3425419999999</v>
      </c>
      <c r="M75" s="125">
        <v>1241.4281230000001</v>
      </c>
      <c r="N75" s="125">
        <v>928.83330000000001</v>
      </c>
      <c r="O75" s="125">
        <v>7.83049999999999</v>
      </c>
      <c r="P75" s="126">
        <v>43101</v>
      </c>
      <c r="Q75" s="22" t="s">
        <v>259</v>
      </c>
      <c r="R75" s="22" t="s">
        <v>41</v>
      </c>
      <c r="S75" s="22" t="s">
        <v>57</v>
      </c>
      <c r="T75" s="22" t="s">
        <v>47</v>
      </c>
      <c r="U75" s="128">
        <v>29977.13995574896</v>
      </c>
      <c r="V75" s="128">
        <v>18192.933775130976</v>
      </c>
      <c r="W75" s="128">
        <v>9721.0029171514889</v>
      </c>
      <c r="X75" s="127">
        <v>0.3</v>
      </c>
      <c r="Y75" s="127">
        <v>0.3</v>
      </c>
      <c r="Z75" s="128">
        <v>8993.1419867246877</v>
      </c>
      <c r="AA75" s="128">
        <v>5457.8801325392924</v>
      </c>
      <c r="AB75" s="127">
        <v>0.65</v>
      </c>
      <c r="AC75" s="127">
        <v>0.35</v>
      </c>
      <c r="AD75" s="160">
        <v>7755.8003377597997</v>
      </c>
      <c r="AE75" s="164">
        <v>11542</v>
      </c>
      <c r="AF75" s="129">
        <v>11542</v>
      </c>
      <c r="AG75" s="129">
        <v>89517447.498423606</v>
      </c>
      <c r="AH75" s="165">
        <v>89517447.498423606</v>
      </c>
    </row>
    <row r="76" spans="2:34" hidden="1" x14ac:dyDescent="0.35">
      <c r="B76" s="180" t="s">
        <v>43</v>
      </c>
      <c r="C76" s="138" t="s">
        <v>229</v>
      </c>
      <c r="D76" s="22" t="s">
        <v>75</v>
      </c>
      <c r="E76" s="22" t="s">
        <v>24</v>
      </c>
      <c r="F76" s="22" t="s">
        <v>235</v>
      </c>
      <c r="G76" s="22" t="s">
        <v>257</v>
      </c>
      <c r="H76" s="22" t="s">
        <v>258</v>
      </c>
      <c r="I76" s="22" t="s">
        <v>28</v>
      </c>
      <c r="J76" s="125">
        <v>2600.5163789999997</v>
      </c>
      <c r="K76" s="125">
        <v>2111.934107</v>
      </c>
      <c r="L76" s="125">
        <v>930.44176999999991</v>
      </c>
      <c r="M76" s="125">
        <v>397.12478299999998</v>
      </c>
      <c r="N76" s="125">
        <v>213.699545</v>
      </c>
      <c r="O76" s="125">
        <v>8.7082999999999995</v>
      </c>
      <c r="P76" s="126">
        <v>43101</v>
      </c>
      <c r="Q76" s="22" t="s">
        <v>259</v>
      </c>
      <c r="R76" s="22" t="s">
        <v>41</v>
      </c>
      <c r="S76" s="22" t="s">
        <v>57</v>
      </c>
      <c r="T76" s="22" t="s">
        <v>47</v>
      </c>
      <c r="U76" s="128">
        <v>18391.3557839881</v>
      </c>
      <c r="V76" s="128">
        <v>8102.5660656909986</v>
      </c>
      <c r="W76" s="128">
        <v>3458.2817477988997</v>
      </c>
      <c r="X76" s="127">
        <v>0.3</v>
      </c>
      <c r="Y76" s="127">
        <v>0.3</v>
      </c>
      <c r="Z76" s="128">
        <v>5517.4067351964295</v>
      </c>
      <c r="AA76" s="128">
        <v>2430.7698197072996</v>
      </c>
      <c r="AB76" s="127">
        <v>0.65</v>
      </c>
      <c r="AC76" s="127">
        <v>0.35</v>
      </c>
      <c r="AD76" s="160">
        <v>4437.0838147752338</v>
      </c>
      <c r="AE76" s="164">
        <v>11542</v>
      </c>
      <c r="AF76" s="129">
        <v>11542</v>
      </c>
      <c r="AG76" s="129">
        <v>51212821.39013575</v>
      </c>
      <c r="AH76" s="165">
        <v>51212821.39013575</v>
      </c>
    </row>
    <row r="77" spans="2:34" hidden="1" x14ac:dyDescent="0.35">
      <c r="B77" s="180" t="s">
        <v>43</v>
      </c>
      <c r="C77" s="138" t="s">
        <v>229</v>
      </c>
      <c r="D77" s="22" t="s">
        <v>75</v>
      </c>
      <c r="E77" s="22" t="s">
        <v>24</v>
      </c>
      <c r="F77" s="22" t="s">
        <v>236</v>
      </c>
      <c r="G77" s="22" t="s">
        <v>257</v>
      </c>
      <c r="H77" s="22" t="s">
        <v>258</v>
      </c>
      <c r="I77" s="22" t="s">
        <v>28</v>
      </c>
      <c r="J77" s="125">
        <v>4406.2438870000005</v>
      </c>
      <c r="K77" s="125">
        <v>4120.6326469999995</v>
      </c>
      <c r="L77" s="125">
        <v>2490.8009429999997</v>
      </c>
      <c r="M77" s="125">
        <v>1339.3569870000001</v>
      </c>
      <c r="N77" s="125">
        <v>1014.470731</v>
      </c>
      <c r="O77" s="125">
        <v>8.0481999999999996</v>
      </c>
      <c r="P77" s="126">
        <v>43101</v>
      </c>
      <c r="Q77" s="22" t="s">
        <v>259</v>
      </c>
      <c r="R77" s="22" t="s">
        <v>41</v>
      </c>
      <c r="S77" s="22" t="s">
        <v>57</v>
      </c>
      <c r="T77" s="22" t="s">
        <v>47</v>
      </c>
      <c r="U77" s="128">
        <v>33163.675669585391</v>
      </c>
      <c r="V77" s="128">
        <v>20046.464149452597</v>
      </c>
      <c r="W77" s="128">
        <v>10779.4129027734</v>
      </c>
      <c r="X77" s="127">
        <v>0.3</v>
      </c>
      <c r="Y77" s="127">
        <v>0.3</v>
      </c>
      <c r="Z77" s="128">
        <v>9949.1027008756173</v>
      </c>
      <c r="AA77" s="128">
        <v>6013.9392448357785</v>
      </c>
      <c r="AB77" s="127">
        <v>0.65</v>
      </c>
      <c r="AC77" s="127">
        <v>0.35</v>
      </c>
      <c r="AD77" s="160">
        <v>8571.7954912616733</v>
      </c>
      <c r="AE77" s="164">
        <v>11542</v>
      </c>
      <c r="AF77" s="129">
        <v>11542</v>
      </c>
      <c r="AG77" s="129">
        <v>98935663.560142234</v>
      </c>
      <c r="AH77" s="165">
        <v>98935663.560142234</v>
      </c>
    </row>
    <row r="78" spans="2:34" hidden="1" x14ac:dyDescent="0.35">
      <c r="B78" s="180" t="s">
        <v>43</v>
      </c>
      <c r="C78" s="138" t="s">
        <v>229</v>
      </c>
      <c r="D78" s="22" t="s">
        <v>75</v>
      </c>
      <c r="E78" s="22" t="s">
        <v>24</v>
      </c>
      <c r="F78" s="22" t="s">
        <v>25</v>
      </c>
      <c r="G78" s="22" t="s">
        <v>257</v>
      </c>
      <c r="H78" s="22" t="s">
        <v>258</v>
      </c>
      <c r="I78" s="22" t="s">
        <v>28</v>
      </c>
      <c r="J78" s="125">
        <v>5980.9555280000004</v>
      </c>
      <c r="K78" s="125">
        <v>5403.2420700000002</v>
      </c>
      <c r="L78" s="125">
        <v>3279.3819659999999</v>
      </c>
      <c r="M78" s="125">
        <v>1766.7731979999999</v>
      </c>
      <c r="N78" s="125">
        <v>1248.4546839999998</v>
      </c>
      <c r="O78" s="125">
        <v>7.8331999999999899</v>
      </c>
      <c r="P78" s="126">
        <v>43101</v>
      </c>
      <c r="Q78" s="22" t="s">
        <v>259</v>
      </c>
      <c r="R78" s="22" t="s">
        <v>41</v>
      </c>
      <c r="S78" s="22" t="s">
        <v>57</v>
      </c>
      <c r="T78" s="22" t="s">
        <v>47</v>
      </c>
      <c r="U78" s="128">
        <v>42324.675782723949</v>
      </c>
      <c r="V78" s="128">
        <v>25688.054816071166</v>
      </c>
      <c r="W78" s="128">
        <v>13839.487814573582</v>
      </c>
      <c r="X78" s="127">
        <v>0.3</v>
      </c>
      <c r="Y78" s="127">
        <v>0.3</v>
      </c>
      <c r="Z78" s="128">
        <v>12697.402734817184</v>
      </c>
      <c r="AA78" s="128">
        <v>7706.4164448213496</v>
      </c>
      <c r="AB78" s="127">
        <v>0.65</v>
      </c>
      <c r="AC78" s="127">
        <v>0.35</v>
      </c>
      <c r="AD78" s="160">
        <v>10950.557533318643</v>
      </c>
      <c r="AE78" s="164">
        <v>11542</v>
      </c>
      <c r="AF78" s="129">
        <v>11542</v>
      </c>
      <c r="AG78" s="129">
        <v>126391335.04956377</v>
      </c>
      <c r="AH78" s="165">
        <v>126391335.04956377</v>
      </c>
    </row>
    <row r="79" spans="2:34" hidden="1" x14ac:dyDescent="0.35">
      <c r="B79" s="180" t="s">
        <v>43</v>
      </c>
      <c r="C79" s="138" t="s">
        <v>229</v>
      </c>
      <c r="D79" s="22" t="s">
        <v>75</v>
      </c>
      <c r="E79" s="22" t="s">
        <v>24</v>
      </c>
      <c r="F79" s="22" t="s">
        <v>231</v>
      </c>
      <c r="G79" s="22" t="s">
        <v>257</v>
      </c>
      <c r="H79" s="22" t="s">
        <v>258</v>
      </c>
      <c r="I79" s="22" t="s">
        <v>28</v>
      </c>
      <c r="J79" s="125">
        <v>1378.310434</v>
      </c>
      <c r="K79" s="125">
        <v>1292.5897500000001</v>
      </c>
      <c r="L79" s="125">
        <v>1005.645941</v>
      </c>
      <c r="M79" s="125">
        <v>705.07512299999996</v>
      </c>
      <c r="N79" s="125">
        <v>605.06571600000007</v>
      </c>
      <c r="O79" s="125">
        <v>7.83049999999999</v>
      </c>
      <c r="P79" s="126">
        <v>43101</v>
      </c>
      <c r="Q79" s="22" t="s">
        <v>259</v>
      </c>
      <c r="R79" s="22" t="s">
        <v>41</v>
      </c>
      <c r="S79" s="22" t="s">
        <v>57</v>
      </c>
      <c r="T79" s="22" t="s">
        <v>47</v>
      </c>
      <c r="U79" s="128">
        <v>10121.624037374988</v>
      </c>
      <c r="V79" s="128">
        <v>7874.7105410004897</v>
      </c>
      <c r="W79" s="128">
        <v>5521.0907506514923</v>
      </c>
      <c r="X79" s="127">
        <v>0.3</v>
      </c>
      <c r="Y79" s="127">
        <v>0.3</v>
      </c>
      <c r="Z79" s="128">
        <v>3036.4872112124963</v>
      </c>
      <c r="AA79" s="128">
        <v>2362.4131623001467</v>
      </c>
      <c r="AB79" s="127">
        <v>0.65</v>
      </c>
      <c r="AC79" s="127">
        <v>0.35</v>
      </c>
      <c r="AD79" s="160">
        <v>2800.5612940931737</v>
      </c>
      <c r="AE79" s="164">
        <v>11542</v>
      </c>
      <c r="AF79" s="129">
        <v>11542</v>
      </c>
      <c r="AG79" s="129">
        <v>32324078.456423413</v>
      </c>
      <c r="AH79" s="165">
        <v>32324078.456423413</v>
      </c>
    </row>
    <row r="80" spans="2:34" hidden="1" x14ac:dyDescent="0.35">
      <c r="B80" s="180" t="s">
        <v>43</v>
      </c>
      <c r="C80" s="138" t="s">
        <v>229</v>
      </c>
      <c r="D80" s="22" t="s">
        <v>75</v>
      </c>
      <c r="E80" s="22" t="s">
        <v>24</v>
      </c>
      <c r="F80" s="22" t="s">
        <v>235</v>
      </c>
      <c r="G80" s="22" t="s">
        <v>257</v>
      </c>
      <c r="H80" s="22" t="s">
        <v>258</v>
      </c>
      <c r="I80" s="22" t="s">
        <v>28</v>
      </c>
      <c r="J80" s="125">
        <v>558.58945000000006</v>
      </c>
      <c r="K80" s="125">
        <v>542.01591599999995</v>
      </c>
      <c r="L80" s="125">
        <v>444.12837699999994</v>
      </c>
      <c r="M80" s="125">
        <v>286.07819599999999</v>
      </c>
      <c r="N80" s="125">
        <v>223.85530400000005</v>
      </c>
      <c r="O80" s="125">
        <v>8.7082999999999995</v>
      </c>
      <c r="P80" s="126">
        <v>43191</v>
      </c>
      <c r="Q80" s="22" t="s">
        <v>259</v>
      </c>
      <c r="R80" s="22" t="s">
        <v>41</v>
      </c>
      <c r="S80" s="22" t="s">
        <v>47</v>
      </c>
      <c r="T80" s="22" t="s">
        <v>47</v>
      </c>
      <c r="U80" s="128">
        <v>4720.0372013027991</v>
      </c>
      <c r="V80" s="128">
        <v>3867.6031454290992</v>
      </c>
      <c r="W80" s="128">
        <v>2491.2547542267998</v>
      </c>
      <c r="X80" s="127">
        <v>0.3</v>
      </c>
      <c r="Y80" s="127">
        <v>0.3</v>
      </c>
      <c r="Z80" s="128">
        <v>1416.0111603908397</v>
      </c>
      <c r="AA80" s="128">
        <v>1160.2809436287298</v>
      </c>
      <c r="AB80" s="127">
        <v>0.65</v>
      </c>
      <c r="AC80" s="127">
        <v>0.35</v>
      </c>
      <c r="AD80" s="160">
        <v>1326.5055845241013</v>
      </c>
      <c r="AE80" s="164">
        <v>11542</v>
      </c>
      <c r="AF80" s="129">
        <v>11542</v>
      </c>
      <c r="AG80" s="129">
        <v>15310527.456577178</v>
      </c>
      <c r="AH80" s="165">
        <v>15310527.456577178</v>
      </c>
    </row>
    <row r="81" spans="2:34" hidden="1" x14ac:dyDescent="0.35">
      <c r="B81" s="180" t="s">
        <v>43</v>
      </c>
      <c r="C81" s="138" t="s">
        <v>229</v>
      </c>
      <c r="D81" s="22" t="s">
        <v>75</v>
      </c>
      <c r="E81" s="22" t="s">
        <v>24</v>
      </c>
      <c r="F81" s="22" t="s">
        <v>236</v>
      </c>
      <c r="G81" s="22" t="s">
        <v>257</v>
      </c>
      <c r="H81" s="22" t="s">
        <v>258</v>
      </c>
      <c r="I81" s="22" t="s">
        <v>28</v>
      </c>
      <c r="J81" s="125">
        <v>1513.260884</v>
      </c>
      <c r="K81" s="125">
        <v>1422.8972359999998</v>
      </c>
      <c r="L81" s="125">
        <v>1107.0605519999999</v>
      </c>
      <c r="M81" s="125">
        <v>643.55705299999988</v>
      </c>
      <c r="N81" s="125">
        <v>441.202991</v>
      </c>
      <c r="O81" s="125">
        <v>8.0481999999999996</v>
      </c>
      <c r="P81" s="126">
        <v>43101</v>
      </c>
      <c r="Q81" s="22" t="s">
        <v>259</v>
      </c>
      <c r="R81" s="22" t="s">
        <v>41</v>
      </c>
      <c r="S81" s="22" t="s">
        <v>57</v>
      </c>
      <c r="T81" s="22" t="s">
        <v>47</v>
      </c>
      <c r="U81" s="128">
        <v>11451.761534775198</v>
      </c>
      <c r="V81" s="128">
        <v>8909.8447346063986</v>
      </c>
      <c r="W81" s="128">
        <v>5179.4758739545987</v>
      </c>
      <c r="X81" s="127">
        <v>0.3</v>
      </c>
      <c r="Y81" s="127">
        <v>0.3</v>
      </c>
      <c r="Z81" s="128">
        <v>3435.5284604325593</v>
      </c>
      <c r="AA81" s="128">
        <v>2672.9534203819194</v>
      </c>
      <c r="AB81" s="127">
        <v>0.65</v>
      </c>
      <c r="AC81" s="127">
        <v>0.35</v>
      </c>
      <c r="AD81" s="160">
        <v>3168.6271964148355</v>
      </c>
      <c r="AE81" s="164">
        <v>11542</v>
      </c>
      <c r="AF81" s="129">
        <v>11542</v>
      </c>
      <c r="AG81" s="129">
        <v>36572295.101020031</v>
      </c>
      <c r="AH81" s="165">
        <v>36572295.101020031</v>
      </c>
    </row>
    <row r="82" spans="2:34" hidden="1" x14ac:dyDescent="0.35">
      <c r="B82" s="180" t="s">
        <v>43</v>
      </c>
      <c r="C82" s="138" t="s">
        <v>229</v>
      </c>
      <c r="D82" s="22" t="s">
        <v>75</v>
      </c>
      <c r="E82" s="22" t="s">
        <v>24</v>
      </c>
      <c r="F82" s="22" t="s">
        <v>25</v>
      </c>
      <c r="G82" s="22" t="s">
        <v>257</v>
      </c>
      <c r="H82" s="22" t="s">
        <v>258</v>
      </c>
      <c r="I82" s="22" t="s">
        <v>28</v>
      </c>
      <c r="J82" s="125">
        <v>2597.0645310000004</v>
      </c>
      <c r="K82" s="125">
        <v>2435.5463849999996</v>
      </c>
      <c r="L82" s="125">
        <v>1894.8760339999999</v>
      </c>
      <c r="M82" s="125">
        <v>1145.6633099999999</v>
      </c>
      <c r="N82" s="125">
        <v>850.12437899999986</v>
      </c>
      <c r="O82" s="125">
        <v>7.8331999999999899</v>
      </c>
      <c r="P82" s="126">
        <v>43160</v>
      </c>
      <c r="Q82" s="22" t="s">
        <v>259</v>
      </c>
      <c r="R82" s="22" t="s">
        <v>41</v>
      </c>
      <c r="S82" s="22" t="s">
        <v>47</v>
      </c>
      <c r="T82" s="22" t="s">
        <v>47</v>
      </c>
      <c r="U82" s="128">
        <v>19078.121942981972</v>
      </c>
      <c r="V82" s="128">
        <v>14842.94294952878</v>
      </c>
      <c r="W82" s="128">
        <v>8974.2098398919879</v>
      </c>
      <c r="X82" s="127">
        <v>0.3</v>
      </c>
      <c r="Y82" s="127">
        <v>0.3</v>
      </c>
      <c r="Z82" s="128">
        <v>5723.4365828945911</v>
      </c>
      <c r="AA82" s="128">
        <v>4452.8828848586336</v>
      </c>
      <c r="AB82" s="127">
        <v>0.65</v>
      </c>
      <c r="AC82" s="127">
        <v>0.35</v>
      </c>
      <c r="AD82" s="160">
        <v>5278.7427885820061</v>
      </c>
      <c r="AE82" s="164">
        <v>11542</v>
      </c>
      <c r="AF82" s="129">
        <v>11542</v>
      </c>
      <c r="AG82" s="129">
        <v>60927249.265813515</v>
      </c>
      <c r="AH82" s="165">
        <v>60927249.265813515</v>
      </c>
    </row>
    <row r="83" spans="2:34" hidden="1" x14ac:dyDescent="0.35">
      <c r="B83" s="180" t="s">
        <v>43</v>
      </c>
      <c r="C83" s="138" t="s">
        <v>229</v>
      </c>
      <c r="D83" s="22" t="s">
        <v>43</v>
      </c>
      <c r="E83" s="22" t="s">
        <v>24</v>
      </c>
      <c r="F83" s="22" t="s">
        <v>231</v>
      </c>
      <c r="G83" s="22" t="s">
        <v>266</v>
      </c>
      <c r="H83" s="22" t="s">
        <v>258</v>
      </c>
      <c r="I83" s="22" t="s">
        <v>28</v>
      </c>
      <c r="J83" s="125">
        <v>625.55848799999978</v>
      </c>
      <c r="K83" s="125">
        <v>625.55848799999978</v>
      </c>
      <c r="L83" s="125">
        <v>622.6398019999998</v>
      </c>
      <c r="M83" s="125">
        <v>483.49131500000004</v>
      </c>
      <c r="N83" s="125">
        <v>365.61003700000003</v>
      </c>
      <c r="O83" s="125">
        <v>5.7441000000000004</v>
      </c>
      <c r="P83" s="126">
        <v>43101</v>
      </c>
      <c r="Q83" s="22" t="s">
        <v>267</v>
      </c>
      <c r="R83" s="22" t="s">
        <v>41</v>
      </c>
      <c r="S83" s="22" t="s">
        <v>57</v>
      </c>
      <c r="T83" s="22" t="s">
        <v>47</v>
      </c>
      <c r="U83" s="128">
        <v>3593.2705109207991</v>
      </c>
      <c r="V83" s="128">
        <v>3576.505286668199</v>
      </c>
      <c r="W83" s="128">
        <v>2777.2224624915007</v>
      </c>
      <c r="X83" s="127">
        <v>0.3</v>
      </c>
      <c r="Y83" s="127">
        <v>0.3</v>
      </c>
      <c r="Z83" s="128">
        <v>1077.9811532762396</v>
      </c>
      <c r="AA83" s="128">
        <v>1072.9515860004597</v>
      </c>
      <c r="AB83" s="127">
        <v>0.65</v>
      </c>
      <c r="AC83" s="127">
        <v>0.35</v>
      </c>
      <c r="AD83" s="160">
        <v>1076.2208047297167</v>
      </c>
      <c r="AE83" s="164">
        <v>11542</v>
      </c>
      <c r="AF83" s="129">
        <v>11542</v>
      </c>
      <c r="AG83" s="129">
        <v>12421740.528190391</v>
      </c>
      <c r="AH83" s="165">
        <v>12421740.528190391</v>
      </c>
    </row>
    <row r="84" spans="2:34" hidden="1" x14ac:dyDescent="0.35">
      <c r="B84" s="180" t="s">
        <v>43</v>
      </c>
      <c r="C84" s="138" t="s">
        <v>229</v>
      </c>
      <c r="D84" s="22" t="s">
        <v>43</v>
      </c>
      <c r="E84" s="22" t="s">
        <v>24</v>
      </c>
      <c r="F84" s="22" t="s">
        <v>235</v>
      </c>
      <c r="G84" s="22" t="s">
        <v>266</v>
      </c>
      <c r="H84" s="22" t="s">
        <v>258</v>
      </c>
      <c r="I84" s="22" t="s">
        <v>28</v>
      </c>
      <c r="J84" s="125">
        <v>4291.9470240000001</v>
      </c>
      <c r="K84" s="125">
        <v>3953.7075289999998</v>
      </c>
      <c r="L84" s="125">
        <v>3430.7864230000005</v>
      </c>
      <c r="M84" s="125">
        <v>3068.5407590000004</v>
      </c>
      <c r="N84" s="125">
        <v>2158.0030570000004</v>
      </c>
      <c r="O84" s="125">
        <v>9.1261999999999901</v>
      </c>
      <c r="P84" s="126">
        <v>43101</v>
      </c>
      <c r="Q84" s="22" t="s">
        <v>267</v>
      </c>
      <c r="R84" s="22" t="s">
        <v>41</v>
      </c>
      <c r="S84" s="22" t="s">
        <v>57</v>
      </c>
      <c r="T84" s="22" t="s">
        <v>47</v>
      </c>
      <c r="U84" s="128">
        <v>36082.325651159757</v>
      </c>
      <c r="V84" s="128">
        <v>31310.043053582569</v>
      </c>
      <c r="W84" s="128">
        <v>28004.116674785775</v>
      </c>
      <c r="X84" s="127">
        <v>0.3</v>
      </c>
      <c r="Y84" s="127">
        <v>0.3</v>
      </c>
      <c r="Z84" s="128">
        <v>10824.697695347926</v>
      </c>
      <c r="AA84" s="128">
        <v>9393.0129160747711</v>
      </c>
      <c r="AB84" s="127">
        <v>0.65</v>
      </c>
      <c r="AC84" s="127">
        <v>0.35</v>
      </c>
      <c r="AD84" s="160">
        <v>10323.608022602322</v>
      </c>
      <c r="AE84" s="164">
        <v>11542</v>
      </c>
      <c r="AF84" s="129">
        <v>11542</v>
      </c>
      <c r="AG84" s="129">
        <v>119155083.796876</v>
      </c>
      <c r="AH84" s="165">
        <v>119155083.796876</v>
      </c>
    </row>
    <row r="85" spans="2:34" hidden="1" x14ac:dyDescent="0.35">
      <c r="B85" s="180" t="s">
        <v>43</v>
      </c>
      <c r="C85" s="138" t="s">
        <v>229</v>
      </c>
      <c r="D85" s="22" t="s">
        <v>43</v>
      </c>
      <c r="E85" s="22" t="s">
        <v>24</v>
      </c>
      <c r="F85" s="22" t="s">
        <v>236</v>
      </c>
      <c r="G85" s="22" t="s">
        <v>266</v>
      </c>
      <c r="H85" s="22" t="s">
        <v>258</v>
      </c>
      <c r="I85" s="22" t="s">
        <v>28</v>
      </c>
      <c r="J85" s="125">
        <v>1591.8067200000003</v>
      </c>
      <c r="K85" s="125">
        <v>1591.8067200000003</v>
      </c>
      <c r="L85" s="125">
        <v>1593.0007880000001</v>
      </c>
      <c r="M85" s="125">
        <v>1432.3326529999997</v>
      </c>
      <c r="N85" s="125">
        <v>1031.1827150000001</v>
      </c>
      <c r="O85" s="125">
        <v>6.1169999999999902</v>
      </c>
      <c r="P85" s="126">
        <v>43132</v>
      </c>
      <c r="Q85" s="22" t="s">
        <v>267</v>
      </c>
      <c r="R85" s="22" t="s">
        <v>41</v>
      </c>
      <c r="S85" s="22" t="s">
        <v>47</v>
      </c>
      <c r="T85" s="22" t="s">
        <v>47</v>
      </c>
      <c r="U85" s="128">
        <v>9737.0817062399856</v>
      </c>
      <c r="V85" s="128">
        <v>9744.3858201959847</v>
      </c>
      <c r="W85" s="128">
        <v>8761.5788384009848</v>
      </c>
      <c r="X85" s="127">
        <v>0.3</v>
      </c>
      <c r="Y85" s="127">
        <v>0.3</v>
      </c>
      <c r="Z85" s="128">
        <v>2921.1245118719958</v>
      </c>
      <c r="AA85" s="128">
        <v>2923.3157460587954</v>
      </c>
      <c r="AB85" s="127">
        <v>0.65</v>
      </c>
      <c r="AC85" s="127">
        <v>0.35</v>
      </c>
      <c r="AD85" s="160">
        <v>2921.8914438373758</v>
      </c>
      <c r="AE85" s="164">
        <v>11542</v>
      </c>
      <c r="AF85" s="129">
        <v>11542</v>
      </c>
      <c r="AG85" s="129">
        <v>33724471.044770993</v>
      </c>
      <c r="AH85" s="165">
        <v>33724471.044770993</v>
      </c>
    </row>
    <row r="86" spans="2:34" hidden="1" x14ac:dyDescent="0.35">
      <c r="B86" s="180" t="s">
        <v>43</v>
      </c>
      <c r="C86" s="138" t="s">
        <v>229</v>
      </c>
      <c r="D86" s="22" t="s">
        <v>43</v>
      </c>
      <c r="E86" s="22" t="s">
        <v>24</v>
      </c>
      <c r="F86" s="22" t="s">
        <v>25</v>
      </c>
      <c r="G86" s="22" t="s">
        <v>266</v>
      </c>
      <c r="H86" s="22" t="s">
        <v>258</v>
      </c>
      <c r="I86" s="22" t="s">
        <v>28</v>
      </c>
      <c r="J86" s="125">
        <v>1296.285384</v>
      </c>
      <c r="K86" s="125">
        <v>1296.285384</v>
      </c>
      <c r="L86" s="125">
        <v>1286.708991</v>
      </c>
      <c r="M86" s="125">
        <v>905.38448500000004</v>
      </c>
      <c r="N86" s="125">
        <v>653.81232799999998</v>
      </c>
      <c r="O86" s="125">
        <v>7.0952000000000002</v>
      </c>
      <c r="P86" s="126">
        <v>43101</v>
      </c>
      <c r="Q86" s="22" t="s">
        <v>267</v>
      </c>
      <c r="R86" s="22" t="s">
        <v>41</v>
      </c>
      <c r="S86" s="22" t="s">
        <v>57</v>
      </c>
      <c r="T86" s="22" t="s">
        <v>47</v>
      </c>
      <c r="U86" s="128">
        <v>9197.4040565568012</v>
      </c>
      <c r="V86" s="128">
        <v>9129.4576329432002</v>
      </c>
      <c r="W86" s="128">
        <v>6423.8839979720005</v>
      </c>
      <c r="X86" s="127">
        <v>0.3</v>
      </c>
      <c r="Y86" s="127">
        <v>0.3</v>
      </c>
      <c r="Z86" s="128">
        <v>2759.2212169670402</v>
      </c>
      <c r="AA86" s="128">
        <v>2738.8372898829598</v>
      </c>
      <c r="AB86" s="127">
        <v>0.65</v>
      </c>
      <c r="AC86" s="127">
        <v>0.35</v>
      </c>
      <c r="AD86" s="160">
        <v>2752.0868424876121</v>
      </c>
      <c r="AE86" s="164">
        <v>11542</v>
      </c>
      <c r="AF86" s="129">
        <v>11542</v>
      </c>
      <c r="AG86" s="129">
        <v>31764586.33599202</v>
      </c>
      <c r="AH86" s="165">
        <v>31764586.33599202</v>
      </c>
    </row>
    <row r="87" spans="2:34" hidden="1" x14ac:dyDescent="0.35">
      <c r="B87" s="180" t="s">
        <v>43</v>
      </c>
      <c r="C87" s="138" t="s">
        <v>229</v>
      </c>
      <c r="D87" s="22" t="s">
        <v>43</v>
      </c>
      <c r="E87" s="22" t="s">
        <v>24</v>
      </c>
      <c r="F87" s="22" t="s">
        <v>231</v>
      </c>
      <c r="G87" s="22" t="s">
        <v>266</v>
      </c>
      <c r="H87" s="22" t="s">
        <v>258</v>
      </c>
      <c r="I87" s="22" t="s">
        <v>28</v>
      </c>
      <c r="J87" s="125">
        <v>350.33786399999991</v>
      </c>
      <c r="K87" s="125">
        <v>350.33786399999991</v>
      </c>
      <c r="L87" s="125">
        <v>350.33786399999991</v>
      </c>
      <c r="M87" s="125">
        <v>301.90962199999996</v>
      </c>
      <c r="N87" s="125">
        <v>234.75047499999999</v>
      </c>
      <c r="O87" s="125">
        <v>5.7441000000000004</v>
      </c>
      <c r="P87" s="126">
        <v>43101</v>
      </c>
      <c r="Q87" s="22" t="s">
        <v>267</v>
      </c>
      <c r="R87" s="22" t="s">
        <v>41</v>
      </c>
      <c r="S87" s="22" t="s">
        <v>57</v>
      </c>
      <c r="T87" s="22" t="s">
        <v>47</v>
      </c>
      <c r="U87" s="128">
        <v>2012.3757246023997</v>
      </c>
      <c r="V87" s="128">
        <v>2012.3757246023997</v>
      </c>
      <c r="W87" s="128">
        <v>1734.1990597301999</v>
      </c>
      <c r="X87" s="127">
        <v>0.3</v>
      </c>
      <c r="Y87" s="127">
        <v>0.3</v>
      </c>
      <c r="Z87" s="128">
        <v>603.71271738071994</v>
      </c>
      <c r="AA87" s="128">
        <v>603.71271738071994</v>
      </c>
      <c r="AB87" s="127">
        <v>0.65</v>
      </c>
      <c r="AC87" s="127">
        <v>0.35</v>
      </c>
      <c r="AD87" s="160">
        <v>603.71271738071994</v>
      </c>
      <c r="AE87" s="164">
        <v>11542</v>
      </c>
      <c r="AF87" s="129">
        <v>11542</v>
      </c>
      <c r="AG87" s="129">
        <v>6968052.1840082696</v>
      </c>
      <c r="AH87" s="165">
        <v>6968052.1840082696</v>
      </c>
    </row>
    <row r="88" spans="2:34" hidden="1" x14ac:dyDescent="0.35">
      <c r="B88" s="180" t="s">
        <v>43</v>
      </c>
      <c r="C88" s="138" t="s">
        <v>229</v>
      </c>
      <c r="D88" s="22" t="s">
        <v>43</v>
      </c>
      <c r="E88" s="22" t="s">
        <v>24</v>
      </c>
      <c r="F88" s="22" t="s">
        <v>235</v>
      </c>
      <c r="G88" s="22" t="s">
        <v>266</v>
      </c>
      <c r="H88" s="22" t="s">
        <v>258</v>
      </c>
      <c r="I88" s="22" t="s">
        <v>28</v>
      </c>
      <c r="J88" s="125">
        <v>1436.1633120000004</v>
      </c>
      <c r="K88" s="125">
        <v>1268.5976640000001</v>
      </c>
      <c r="L88" s="125">
        <v>1007.3645910000001</v>
      </c>
      <c r="M88" s="125">
        <v>906.98443299999997</v>
      </c>
      <c r="N88" s="125">
        <v>691.63755399999991</v>
      </c>
      <c r="O88" s="125">
        <v>9.1261999999999901</v>
      </c>
      <c r="P88" s="126">
        <v>43101</v>
      </c>
      <c r="Q88" s="22" t="s">
        <v>267</v>
      </c>
      <c r="R88" s="22" t="s">
        <v>41</v>
      </c>
      <c r="S88" s="22" t="s">
        <v>57</v>
      </c>
      <c r="T88" s="22" t="s">
        <v>47</v>
      </c>
      <c r="U88" s="128">
        <v>11577.476001196788</v>
      </c>
      <c r="V88" s="128">
        <v>9193.410730384192</v>
      </c>
      <c r="W88" s="128">
        <v>8277.3213324445915</v>
      </c>
      <c r="X88" s="127">
        <v>0.3</v>
      </c>
      <c r="Y88" s="127">
        <v>0.3</v>
      </c>
      <c r="Z88" s="128">
        <v>3473.2428003590362</v>
      </c>
      <c r="AA88" s="128">
        <v>2758.0232191152577</v>
      </c>
      <c r="AB88" s="127">
        <v>0.65</v>
      </c>
      <c r="AC88" s="127">
        <v>0.35</v>
      </c>
      <c r="AD88" s="160">
        <v>3222.9159469237138</v>
      </c>
      <c r="AE88" s="164">
        <v>11542</v>
      </c>
      <c r="AF88" s="129">
        <v>11542</v>
      </c>
      <c r="AG88" s="129">
        <v>37198895.859393507</v>
      </c>
      <c r="AH88" s="165">
        <v>37198895.859393507</v>
      </c>
    </row>
    <row r="89" spans="2:34" hidden="1" x14ac:dyDescent="0.35">
      <c r="B89" s="180" t="s">
        <v>43</v>
      </c>
      <c r="C89" s="138" t="s">
        <v>229</v>
      </c>
      <c r="D89" s="22" t="s">
        <v>43</v>
      </c>
      <c r="E89" s="22" t="s">
        <v>24</v>
      </c>
      <c r="F89" s="22" t="s">
        <v>236</v>
      </c>
      <c r="G89" s="22" t="s">
        <v>266</v>
      </c>
      <c r="H89" s="22" t="s">
        <v>258</v>
      </c>
      <c r="I89" s="22" t="s">
        <v>28</v>
      </c>
      <c r="J89" s="125">
        <v>694.65151199999991</v>
      </c>
      <c r="K89" s="125">
        <v>694.65151199999991</v>
      </c>
      <c r="L89" s="125">
        <v>694.65151199999991</v>
      </c>
      <c r="M89" s="125">
        <v>780.41597499999989</v>
      </c>
      <c r="N89" s="125">
        <v>661.65853500000003</v>
      </c>
      <c r="O89" s="125">
        <v>6.1169999999999902</v>
      </c>
      <c r="P89" s="126">
        <v>43101</v>
      </c>
      <c r="Q89" s="22" t="s">
        <v>267</v>
      </c>
      <c r="R89" s="22" t="s">
        <v>41</v>
      </c>
      <c r="S89" s="22" t="s">
        <v>57</v>
      </c>
      <c r="T89" s="22" t="s">
        <v>47</v>
      </c>
      <c r="U89" s="128">
        <v>4249.1832989039931</v>
      </c>
      <c r="V89" s="128">
        <v>4249.1832989039931</v>
      </c>
      <c r="W89" s="128">
        <v>4773.8045190749917</v>
      </c>
      <c r="X89" s="127">
        <v>0.3</v>
      </c>
      <c r="Y89" s="127">
        <v>0.3</v>
      </c>
      <c r="Z89" s="128">
        <v>1274.7549896711978</v>
      </c>
      <c r="AA89" s="128">
        <v>1274.7549896711978</v>
      </c>
      <c r="AB89" s="127">
        <v>0.65</v>
      </c>
      <c r="AC89" s="127">
        <v>0.35</v>
      </c>
      <c r="AD89" s="160">
        <v>1274.7549896711978</v>
      </c>
      <c r="AE89" s="164">
        <v>11542</v>
      </c>
      <c r="AF89" s="129">
        <v>11542</v>
      </c>
      <c r="AG89" s="129">
        <v>14713222.090784965</v>
      </c>
      <c r="AH89" s="165">
        <v>14713222.090784965</v>
      </c>
    </row>
    <row r="90" spans="2:34" hidden="1" x14ac:dyDescent="0.35">
      <c r="B90" s="180" t="s">
        <v>43</v>
      </c>
      <c r="C90" s="138" t="s">
        <v>229</v>
      </c>
      <c r="D90" s="22" t="s">
        <v>43</v>
      </c>
      <c r="E90" s="22" t="s">
        <v>24</v>
      </c>
      <c r="F90" s="22" t="s">
        <v>25</v>
      </c>
      <c r="G90" s="22" t="s">
        <v>266</v>
      </c>
      <c r="H90" s="22" t="s">
        <v>258</v>
      </c>
      <c r="I90" s="22" t="s">
        <v>28</v>
      </c>
      <c r="J90" s="125">
        <v>392.98459200000002</v>
      </c>
      <c r="K90" s="125">
        <v>392.98459200000002</v>
      </c>
      <c r="L90" s="125">
        <v>392.98459200000002</v>
      </c>
      <c r="M90" s="125">
        <v>322.942971</v>
      </c>
      <c r="N90" s="125">
        <v>242.372874</v>
      </c>
      <c r="O90" s="125">
        <v>7.0952000000000002</v>
      </c>
      <c r="P90" s="126">
        <v>43101</v>
      </c>
      <c r="Q90" s="22" t="s">
        <v>267</v>
      </c>
      <c r="R90" s="22" t="s">
        <v>41</v>
      </c>
      <c r="S90" s="22" t="s">
        <v>57</v>
      </c>
      <c r="T90" s="22" t="s">
        <v>47</v>
      </c>
      <c r="U90" s="128">
        <v>2788.3042771584001</v>
      </c>
      <c r="V90" s="128">
        <v>2788.3042771584001</v>
      </c>
      <c r="W90" s="128">
        <v>2291.3449678391999</v>
      </c>
      <c r="X90" s="127">
        <v>0.3</v>
      </c>
      <c r="Y90" s="127">
        <v>0.3</v>
      </c>
      <c r="Z90" s="128">
        <v>836.49128314751999</v>
      </c>
      <c r="AA90" s="128">
        <v>836.49128314751999</v>
      </c>
      <c r="AB90" s="127">
        <v>0.65</v>
      </c>
      <c r="AC90" s="127">
        <v>0.35</v>
      </c>
      <c r="AD90" s="160">
        <v>836.49128314751999</v>
      </c>
      <c r="AE90" s="164">
        <v>11542</v>
      </c>
      <c r="AF90" s="129">
        <v>11542</v>
      </c>
      <c r="AG90" s="129">
        <v>9654782.3900886755</v>
      </c>
      <c r="AH90" s="165">
        <v>9654782.3900886755</v>
      </c>
    </row>
    <row r="91" spans="2:34" hidden="1" x14ac:dyDescent="0.35">
      <c r="B91" s="180" t="s">
        <v>43</v>
      </c>
      <c r="C91" s="138" t="s">
        <v>229</v>
      </c>
      <c r="D91" s="22" t="s">
        <v>43</v>
      </c>
      <c r="E91" s="22" t="s">
        <v>44</v>
      </c>
      <c r="F91" s="22" t="s">
        <v>231</v>
      </c>
      <c r="G91" s="22" t="s">
        <v>268</v>
      </c>
      <c r="H91" s="22" t="s">
        <v>269</v>
      </c>
      <c r="I91" s="22" t="s">
        <v>28</v>
      </c>
      <c r="J91" s="125">
        <v>1319.6874720000003</v>
      </c>
      <c r="K91" s="125">
        <v>1319.6874720000003</v>
      </c>
      <c r="L91" s="125">
        <v>1319.6874720000003</v>
      </c>
      <c r="M91" s="125">
        <v>1232.162883</v>
      </c>
      <c r="N91" s="125">
        <v>1074.8641270000003</v>
      </c>
      <c r="O91" s="125">
        <v>6.8216999999999901</v>
      </c>
      <c r="P91" s="126">
        <v>43101</v>
      </c>
      <c r="Q91" s="22" t="s">
        <v>270</v>
      </c>
      <c r="R91" s="22" t="s">
        <v>41</v>
      </c>
      <c r="S91" s="22" t="s">
        <v>57</v>
      </c>
      <c r="T91" s="22" t="s">
        <v>47</v>
      </c>
      <c r="U91" s="128">
        <v>9002.5120277423885</v>
      </c>
      <c r="V91" s="128">
        <v>9002.5120277423885</v>
      </c>
      <c r="W91" s="128">
        <v>8405.4455389610885</v>
      </c>
      <c r="X91" s="127">
        <v>0.3</v>
      </c>
      <c r="Y91" s="127">
        <v>0.3</v>
      </c>
      <c r="Z91" s="128">
        <v>2700.7536083227164</v>
      </c>
      <c r="AA91" s="128">
        <v>2700.7536083227164</v>
      </c>
      <c r="AB91" s="127">
        <v>0.65</v>
      </c>
      <c r="AC91" s="127">
        <v>0.35</v>
      </c>
      <c r="AD91" s="160">
        <v>2700.7536083227164</v>
      </c>
      <c r="AE91" s="164">
        <v>11542</v>
      </c>
      <c r="AF91" s="129">
        <v>11542</v>
      </c>
      <c r="AG91" s="129">
        <v>31172098.147260793</v>
      </c>
      <c r="AH91" s="165">
        <v>31172098.147260793</v>
      </c>
    </row>
    <row r="92" spans="2:34" hidden="1" x14ac:dyDescent="0.35">
      <c r="B92" s="180" t="s">
        <v>43</v>
      </c>
      <c r="C92" s="138" t="s">
        <v>229</v>
      </c>
      <c r="D92" s="22" t="s">
        <v>43</v>
      </c>
      <c r="E92" s="22" t="s">
        <v>44</v>
      </c>
      <c r="F92" s="22" t="s">
        <v>235</v>
      </c>
      <c r="G92" s="22" t="s">
        <v>268</v>
      </c>
      <c r="H92" s="22" t="s">
        <v>269</v>
      </c>
      <c r="I92" s="22" t="s">
        <v>28</v>
      </c>
      <c r="J92" s="125">
        <v>2566.4563320000002</v>
      </c>
      <c r="K92" s="125">
        <v>2566.4563320000002</v>
      </c>
      <c r="L92" s="125">
        <v>2566.4563320000002</v>
      </c>
      <c r="M92" s="125">
        <v>2396.243281</v>
      </c>
      <c r="N92" s="125">
        <v>2090.3372289999998</v>
      </c>
      <c r="O92" s="125">
        <v>9.2363999999999908</v>
      </c>
      <c r="P92" s="126">
        <v>43101</v>
      </c>
      <c r="Q92" s="22" t="s">
        <v>270</v>
      </c>
      <c r="R92" s="22" t="s">
        <v>41</v>
      </c>
      <c r="S92" s="22" t="s">
        <v>57</v>
      </c>
      <c r="T92" s="22" t="s">
        <v>47</v>
      </c>
      <c r="U92" s="128">
        <v>23704.817264884779</v>
      </c>
      <c r="V92" s="128">
        <v>23704.817264884779</v>
      </c>
      <c r="W92" s="128">
        <v>22132.661440628377</v>
      </c>
      <c r="X92" s="127">
        <v>0.3</v>
      </c>
      <c r="Y92" s="127">
        <v>0.3</v>
      </c>
      <c r="Z92" s="128">
        <v>7111.4451794654333</v>
      </c>
      <c r="AA92" s="128">
        <v>7111.4451794654333</v>
      </c>
      <c r="AB92" s="127">
        <v>0.65</v>
      </c>
      <c r="AC92" s="127">
        <v>0.35</v>
      </c>
      <c r="AD92" s="160">
        <v>7111.4451794654342</v>
      </c>
      <c r="AE92" s="164">
        <v>11542</v>
      </c>
      <c r="AF92" s="129">
        <v>11542</v>
      </c>
      <c r="AG92" s="129">
        <v>82080300.261390045</v>
      </c>
      <c r="AH92" s="165">
        <v>82080300.261390045</v>
      </c>
    </row>
    <row r="93" spans="2:34" hidden="1" x14ac:dyDescent="0.35">
      <c r="B93" s="180" t="s">
        <v>43</v>
      </c>
      <c r="C93" s="138" t="s">
        <v>229</v>
      </c>
      <c r="D93" s="22" t="s">
        <v>43</v>
      </c>
      <c r="E93" s="22" t="s">
        <v>44</v>
      </c>
      <c r="F93" s="22" t="s">
        <v>236</v>
      </c>
      <c r="G93" s="22" t="s">
        <v>268</v>
      </c>
      <c r="H93" s="22" t="s">
        <v>269</v>
      </c>
      <c r="I93" s="22" t="s">
        <v>28</v>
      </c>
      <c r="J93" s="125">
        <v>2062.2128879999996</v>
      </c>
      <c r="K93" s="125">
        <v>2062.2128879999996</v>
      </c>
      <c r="L93" s="125">
        <v>2062.2128879999996</v>
      </c>
      <c r="M93" s="125">
        <v>1925.442376</v>
      </c>
      <c r="N93" s="125">
        <v>1679.639089</v>
      </c>
      <c r="O93" s="125">
        <v>7.5213999999999999</v>
      </c>
      <c r="P93" s="126">
        <v>43101</v>
      </c>
      <c r="Q93" s="22" t="s">
        <v>270</v>
      </c>
      <c r="R93" s="22" t="s">
        <v>41</v>
      </c>
      <c r="S93" s="22" t="s">
        <v>57</v>
      </c>
      <c r="T93" s="22" t="s">
        <v>47</v>
      </c>
      <c r="U93" s="128">
        <v>15510.728015803197</v>
      </c>
      <c r="V93" s="128">
        <v>15510.728015803197</v>
      </c>
      <c r="W93" s="128">
        <v>14482.022286846399</v>
      </c>
      <c r="X93" s="127">
        <v>0.3</v>
      </c>
      <c r="Y93" s="127">
        <v>0.3</v>
      </c>
      <c r="Z93" s="128">
        <v>4653.2184047409592</v>
      </c>
      <c r="AA93" s="128">
        <v>4653.2184047409592</v>
      </c>
      <c r="AB93" s="127">
        <v>0.65</v>
      </c>
      <c r="AC93" s="127">
        <v>0.35</v>
      </c>
      <c r="AD93" s="160">
        <v>4653.2184047409592</v>
      </c>
      <c r="AE93" s="164">
        <v>11542</v>
      </c>
      <c r="AF93" s="129">
        <v>11542</v>
      </c>
      <c r="AG93" s="129">
        <v>53707446.827520147</v>
      </c>
      <c r="AH93" s="165">
        <v>53707446.827520147</v>
      </c>
    </row>
    <row r="94" spans="2:34" hidden="1" x14ac:dyDescent="0.35">
      <c r="B94" s="180" t="s">
        <v>43</v>
      </c>
      <c r="C94" s="138" t="s">
        <v>229</v>
      </c>
      <c r="D94" s="22" t="s">
        <v>43</v>
      </c>
      <c r="E94" s="22" t="s">
        <v>44</v>
      </c>
      <c r="F94" s="22" t="s">
        <v>25</v>
      </c>
      <c r="G94" s="22" t="s">
        <v>268</v>
      </c>
      <c r="H94" s="22" t="s">
        <v>269</v>
      </c>
      <c r="I94" s="22" t="s">
        <v>28</v>
      </c>
      <c r="J94" s="125">
        <v>1099.453536</v>
      </c>
      <c r="K94" s="125">
        <v>1099.453536</v>
      </c>
      <c r="L94" s="125">
        <v>1099.453536</v>
      </c>
      <c r="M94" s="125">
        <v>1026.535347</v>
      </c>
      <c r="N94" s="125">
        <v>895.48714300000006</v>
      </c>
      <c r="O94" s="125">
        <v>7.2565999999999997</v>
      </c>
      <c r="P94" s="126">
        <v>43101</v>
      </c>
      <c r="Q94" s="22" t="s">
        <v>270</v>
      </c>
      <c r="R94" s="22" t="s">
        <v>41</v>
      </c>
      <c r="S94" s="22" t="s">
        <v>57</v>
      </c>
      <c r="T94" s="22" t="s">
        <v>47</v>
      </c>
      <c r="U94" s="128">
        <v>7978.2945293375997</v>
      </c>
      <c r="V94" s="128">
        <v>7978.2945293375997</v>
      </c>
      <c r="W94" s="128">
        <v>7449.1563990402001</v>
      </c>
      <c r="X94" s="127">
        <v>0.3</v>
      </c>
      <c r="Y94" s="127">
        <v>0.3</v>
      </c>
      <c r="Z94" s="128">
        <v>2393.4883588012799</v>
      </c>
      <c r="AA94" s="128">
        <v>2393.4883588012799</v>
      </c>
      <c r="AB94" s="127">
        <v>0.65</v>
      </c>
      <c r="AC94" s="127">
        <v>0.35</v>
      </c>
      <c r="AD94" s="160">
        <v>2393.4883588012799</v>
      </c>
      <c r="AE94" s="164">
        <v>11542</v>
      </c>
      <c r="AF94" s="129">
        <v>11542</v>
      </c>
      <c r="AG94" s="129">
        <v>27625642.637284372</v>
      </c>
      <c r="AH94" s="165">
        <v>27625642.637284372</v>
      </c>
    </row>
    <row r="95" spans="2:34" hidden="1" x14ac:dyDescent="0.35">
      <c r="B95" s="180" t="s">
        <v>43</v>
      </c>
      <c r="C95" s="138" t="s">
        <v>229</v>
      </c>
      <c r="D95" s="22" t="s">
        <v>43</v>
      </c>
      <c r="E95" s="22" t="s">
        <v>44</v>
      </c>
      <c r="F95" s="22" t="s">
        <v>231</v>
      </c>
      <c r="G95" s="22" t="s">
        <v>268</v>
      </c>
      <c r="H95" s="22" t="s">
        <v>269</v>
      </c>
      <c r="I95" s="22" t="s">
        <v>28</v>
      </c>
      <c r="J95" s="125">
        <v>446.14895999999999</v>
      </c>
      <c r="K95" s="125">
        <v>446.14895999999999</v>
      </c>
      <c r="L95" s="125">
        <v>446.14895999999999</v>
      </c>
      <c r="M95" s="125">
        <v>416.55937700000004</v>
      </c>
      <c r="N95" s="125">
        <v>363.381123</v>
      </c>
      <c r="O95" s="125">
        <v>6.8216999999999901</v>
      </c>
      <c r="P95" s="126">
        <v>43101</v>
      </c>
      <c r="Q95" s="22" t="s">
        <v>270</v>
      </c>
      <c r="R95" s="22" t="s">
        <v>41</v>
      </c>
      <c r="S95" s="22" t="s">
        <v>57</v>
      </c>
      <c r="T95" s="22" t="s">
        <v>47</v>
      </c>
      <c r="U95" s="128">
        <v>3043.4943604319956</v>
      </c>
      <c r="V95" s="128">
        <v>3043.4943604319956</v>
      </c>
      <c r="W95" s="128">
        <v>2841.6431020808964</v>
      </c>
      <c r="X95" s="127">
        <v>0.3</v>
      </c>
      <c r="Y95" s="127">
        <v>0.3</v>
      </c>
      <c r="Z95" s="128">
        <v>913.04830812959869</v>
      </c>
      <c r="AA95" s="128">
        <v>913.04830812959869</v>
      </c>
      <c r="AB95" s="127">
        <v>0.65</v>
      </c>
      <c r="AC95" s="127">
        <v>0.35</v>
      </c>
      <c r="AD95" s="160">
        <v>913.04830812959869</v>
      </c>
      <c r="AE95" s="164">
        <v>11542</v>
      </c>
      <c r="AF95" s="129">
        <v>11542</v>
      </c>
      <c r="AG95" s="129">
        <v>10538403.572431829</v>
      </c>
      <c r="AH95" s="165">
        <v>10538403.572431829</v>
      </c>
    </row>
    <row r="96" spans="2:34" hidden="1" x14ac:dyDescent="0.35">
      <c r="B96" s="180" t="s">
        <v>43</v>
      </c>
      <c r="C96" s="138" t="s">
        <v>229</v>
      </c>
      <c r="D96" s="22" t="s">
        <v>43</v>
      </c>
      <c r="E96" s="22" t="s">
        <v>44</v>
      </c>
      <c r="F96" s="22" t="s">
        <v>235</v>
      </c>
      <c r="G96" s="22" t="s">
        <v>268</v>
      </c>
      <c r="H96" s="22" t="s">
        <v>269</v>
      </c>
      <c r="I96" s="22" t="s">
        <v>28</v>
      </c>
      <c r="J96" s="125">
        <v>733.49490000000014</v>
      </c>
      <c r="K96" s="125">
        <v>733.49490000000014</v>
      </c>
      <c r="L96" s="125">
        <v>733.49490000000014</v>
      </c>
      <c r="M96" s="125">
        <v>684.84789799999999</v>
      </c>
      <c r="N96" s="125">
        <v>597.41974700000003</v>
      </c>
      <c r="O96" s="125">
        <v>9.2363999999999908</v>
      </c>
      <c r="P96" s="126">
        <v>43101</v>
      </c>
      <c r="Q96" s="22" t="s">
        <v>270</v>
      </c>
      <c r="R96" s="22" t="s">
        <v>41</v>
      </c>
      <c r="S96" s="22" t="s">
        <v>57</v>
      </c>
      <c r="T96" s="22" t="s">
        <v>47</v>
      </c>
      <c r="U96" s="128">
        <v>6774.8522943599946</v>
      </c>
      <c r="V96" s="128">
        <v>6774.8522943599946</v>
      </c>
      <c r="W96" s="128">
        <v>6325.5291250871933</v>
      </c>
      <c r="X96" s="127">
        <v>0.3</v>
      </c>
      <c r="Y96" s="127">
        <v>0.3</v>
      </c>
      <c r="Z96" s="128">
        <v>2032.4556883079983</v>
      </c>
      <c r="AA96" s="128">
        <v>2032.4556883079983</v>
      </c>
      <c r="AB96" s="127">
        <v>0.65</v>
      </c>
      <c r="AC96" s="127">
        <v>0.35</v>
      </c>
      <c r="AD96" s="160">
        <v>2032.4556883079981</v>
      </c>
      <c r="AE96" s="164">
        <v>11542</v>
      </c>
      <c r="AF96" s="129">
        <v>11542</v>
      </c>
      <c r="AG96" s="129">
        <v>23458603.554450914</v>
      </c>
      <c r="AH96" s="165">
        <v>23458603.554450914</v>
      </c>
    </row>
    <row r="97" spans="2:34" hidden="1" x14ac:dyDescent="0.35">
      <c r="B97" s="180" t="s">
        <v>43</v>
      </c>
      <c r="C97" s="138" t="s">
        <v>229</v>
      </c>
      <c r="D97" s="22" t="s">
        <v>43</v>
      </c>
      <c r="E97" s="22" t="s">
        <v>44</v>
      </c>
      <c r="F97" s="22" t="s">
        <v>236</v>
      </c>
      <c r="G97" s="22" t="s">
        <v>268</v>
      </c>
      <c r="H97" s="22" t="s">
        <v>269</v>
      </c>
      <c r="I97" s="22" t="s">
        <v>28</v>
      </c>
      <c r="J97" s="125">
        <v>901.89280800000006</v>
      </c>
      <c r="K97" s="125">
        <v>901.89280800000006</v>
      </c>
      <c r="L97" s="125">
        <v>901.89280800000006</v>
      </c>
      <c r="M97" s="125">
        <v>842.07728500000007</v>
      </c>
      <c r="N97" s="125">
        <v>734.57712300000003</v>
      </c>
      <c r="O97" s="125">
        <v>7.5213999999999999</v>
      </c>
      <c r="P97" s="126">
        <v>43101</v>
      </c>
      <c r="Q97" s="22" t="s">
        <v>270</v>
      </c>
      <c r="R97" s="22" t="s">
        <v>41</v>
      </c>
      <c r="S97" s="22" t="s">
        <v>57</v>
      </c>
      <c r="T97" s="22" t="s">
        <v>47</v>
      </c>
      <c r="U97" s="128">
        <v>6783.4965660912003</v>
      </c>
      <c r="V97" s="128">
        <v>6783.4965660912003</v>
      </c>
      <c r="W97" s="128">
        <v>6333.6000913990001</v>
      </c>
      <c r="X97" s="127">
        <v>0.3</v>
      </c>
      <c r="Y97" s="127">
        <v>0.3</v>
      </c>
      <c r="Z97" s="128">
        <v>2035.04896982736</v>
      </c>
      <c r="AA97" s="128">
        <v>2035.04896982736</v>
      </c>
      <c r="AB97" s="127">
        <v>0.65</v>
      </c>
      <c r="AC97" s="127">
        <v>0.35</v>
      </c>
      <c r="AD97" s="160">
        <v>2035.04896982736</v>
      </c>
      <c r="AE97" s="164">
        <v>11542</v>
      </c>
      <c r="AF97" s="129">
        <v>11542</v>
      </c>
      <c r="AG97" s="129">
        <v>23488535.209747389</v>
      </c>
      <c r="AH97" s="165">
        <v>23488535.209747389</v>
      </c>
    </row>
    <row r="98" spans="2:34" hidden="1" x14ac:dyDescent="0.35">
      <c r="B98" s="180" t="s">
        <v>43</v>
      </c>
      <c r="C98" s="138" t="s">
        <v>229</v>
      </c>
      <c r="D98" s="22" t="s">
        <v>43</v>
      </c>
      <c r="E98" s="22" t="s">
        <v>44</v>
      </c>
      <c r="F98" s="22" t="s">
        <v>25</v>
      </c>
      <c r="G98" s="22" t="s">
        <v>268</v>
      </c>
      <c r="H98" s="22" t="s">
        <v>269</v>
      </c>
      <c r="I98" s="22" t="s">
        <v>28</v>
      </c>
      <c r="J98" s="125">
        <v>545.71755600000017</v>
      </c>
      <c r="K98" s="125">
        <v>545.71755600000017</v>
      </c>
      <c r="L98" s="125">
        <v>545.71755600000017</v>
      </c>
      <c r="M98" s="125">
        <v>509.52436499999999</v>
      </c>
      <c r="N98" s="125">
        <v>444.478137</v>
      </c>
      <c r="O98" s="125">
        <v>7.2565999999999997</v>
      </c>
      <c r="P98" s="126">
        <v>43101</v>
      </c>
      <c r="Q98" s="22" t="s">
        <v>270</v>
      </c>
      <c r="R98" s="22" t="s">
        <v>41</v>
      </c>
      <c r="S98" s="22" t="s">
        <v>57</v>
      </c>
      <c r="T98" s="22" t="s">
        <v>47</v>
      </c>
      <c r="U98" s="128">
        <v>3960.0540168696011</v>
      </c>
      <c r="V98" s="128">
        <v>3960.0540168696011</v>
      </c>
      <c r="W98" s="128">
        <v>3697.4145070589998</v>
      </c>
      <c r="X98" s="127">
        <v>0.3</v>
      </c>
      <c r="Y98" s="127">
        <v>0.3</v>
      </c>
      <c r="Z98" s="128">
        <v>1188.0162050608803</v>
      </c>
      <c r="AA98" s="128">
        <v>1188.0162050608803</v>
      </c>
      <c r="AB98" s="127">
        <v>0.65</v>
      </c>
      <c r="AC98" s="127">
        <v>0.35</v>
      </c>
      <c r="AD98" s="160">
        <v>1188.0162050608803</v>
      </c>
      <c r="AE98" s="164">
        <v>11542</v>
      </c>
      <c r="AF98" s="129">
        <v>11542</v>
      </c>
      <c r="AG98" s="129">
        <v>13712083.03881268</v>
      </c>
      <c r="AH98" s="165">
        <v>13712083.03881268</v>
      </c>
    </row>
    <row r="99" spans="2:34" hidden="1" x14ac:dyDescent="0.35">
      <c r="B99" s="180" t="s">
        <v>43</v>
      </c>
      <c r="C99" s="138" t="s">
        <v>229</v>
      </c>
      <c r="D99" s="22" t="s">
        <v>43</v>
      </c>
      <c r="E99" s="22" t="s">
        <v>81</v>
      </c>
      <c r="F99" s="22" t="s">
        <v>25</v>
      </c>
      <c r="G99" s="22" t="s">
        <v>271</v>
      </c>
      <c r="H99" s="22" t="s">
        <v>272</v>
      </c>
      <c r="I99" s="22" t="s">
        <v>28</v>
      </c>
      <c r="J99" s="125">
        <v>2430.6452039999999</v>
      </c>
      <c r="K99" s="125">
        <v>3398.6438289999996</v>
      </c>
      <c r="L99" s="125">
        <v>3188.0291609999999</v>
      </c>
      <c r="M99" s="125">
        <v>2996.0287760000001</v>
      </c>
      <c r="N99" s="125">
        <v>2622.0769009999999</v>
      </c>
      <c r="O99" s="125">
        <v>8.9600000000000009</v>
      </c>
      <c r="P99" s="126">
        <v>44950</v>
      </c>
      <c r="Q99" s="22" t="s">
        <v>273</v>
      </c>
      <c r="R99" s="22" t="s">
        <v>41</v>
      </c>
      <c r="S99" s="22" t="s">
        <v>79</v>
      </c>
      <c r="T99" s="22" t="s">
        <v>80</v>
      </c>
      <c r="U99" s="128">
        <v>30451.848707839999</v>
      </c>
      <c r="V99" s="128">
        <v>28564.74128256</v>
      </c>
      <c r="W99" s="128">
        <v>26844.417832960004</v>
      </c>
      <c r="X99" s="127">
        <v>1</v>
      </c>
      <c r="Y99" s="127">
        <v>0.8</v>
      </c>
      <c r="Z99" s="128">
        <v>30451.848707839999</v>
      </c>
      <c r="AA99" s="128">
        <v>22851.793026048003</v>
      </c>
      <c r="AB99" s="127">
        <v>0.65</v>
      </c>
      <c r="AC99" s="127">
        <v>0.35</v>
      </c>
      <c r="AD99" s="160">
        <v>27791.829219212803</v>
      </c>
      <c r="AE99" s="164">
        <v>11542</v>
      </c>
      <c r="AF99" s="129">
        <v>11542</v>
      </c>
      <c r="AG99" s="129">
        <v>320773292.84815419</v>
      </c>
      <c r="AH99" s="165">
        <v>320773292.84815419</v>
      </c>
    </row>
    <row r="100" spans="2:34" hidden="1" x14ac:dyDescent="0.35">
      <c r="B100" s="180" t="s">
        <v>469</v>
      </c>
      <c r="C100" s="138" t="s">
        <v>274</v>
      </c>
      <c r="D100" s="22" t="s">
        <v>275</v>
      </c>
      <c r="E100" s="22" t="s">
        <v>24</v>
      </c>
      <c r="F100" s="22" t="s">
        <v>276</v>
      </c>
      <c r="G100" s="22" t="s">
        <v>277</v>
      </c>
      <c r="H100" s="22" t="s">
        <v>278</v>
      </c>
      <c r="I100" s="22" t="s">
        <v>28</v>
      </c>
      <c r="J100" s="125">
        <v>0</v>
      </c>
      <c r="K100" s="125">
        <v>0</v>
      </c>
      <c r="L100" s="125">
        <v>886.908545</v>
      </c>
      <c r="M100" s="125">
        <v>1225.2035139999998</v>
      </c>
      <c r="N100" s="125">
        <v>1095.675661</v>
      </c>
      <c r="O100" s="125">
        <v>13.140632567999999</v>
      </c>
      <c r="P100" s="126">
        <v>45658</v>
      </c>
      <c r="Q100" s="22" t="s">
        <v>279</v>
      </c>
      <c r="R100" s="22">
        <v>25</v>
      </c>
      <c r="S100" s="22" t="s">
        <v>104</v>
      </c>
      <c r="T100" s="22" t="s">
        <v>31</v>
      </c>
      <c r="U100" s="128">
        <v>0</v>
      </c>
      <c r="V100" s="128">
        <v>11654.539311264492</v>
      </c>
      <c r="W100" s="128">
        <v>16099.949198496441</v>
      </c>
      <c r="X100" s="127">
        <v>1</v>
      </c>
      <c r="Y100" s="127">
        <v>1</v>
      </c>
      <c r="Z100" s="128">
        <v>0</v>
      </c>
      <c r="AA100" s="128">
        <v>11654.539311264492</v>
      </c>
      <c r="AB100" s="127">
        <v>0</v>
      </c>
      <c r="AC100" s="127">
        <v>1</v>
      </c>
      <c r="AD100" s="160">
        <v>11654.539311264492</v>
      </c>
      <c r="AE100" s="164">
        <v>21183</v>
      </c>
      <c r="AF100" s="129">
        <v>16362.5</v>
      </c>
      <c r="AG100" s="129">
        <v>246878106.23051575</v>
      </c>
      <c r="AH100" s="165">
        <v>190697399.48056525</v>
      </c>
    </row>
    <row r="101" spans="2:34" hidden="1" x14ac:dyDescent="0.35">
      <c r="B101" s="180" t="s">
        <v>469</v>
      </c>
      <c r="C101" s="138" t="s">
        <v>274</v>
      </c>
      <c r="D101" s="22" t="s">
        <v>275</v>
      </c>
      <c r="E101" s="22" t="s">
        <v>24</v>
      </c>
      <c r="F101" s="22" t="s">
        <v>25</v>
      </c>
      <c r="G101" s="22" t="s">
        <v>277</v>
      </c>
      <c r="H101" s="22" t="s">
        <v>278</v>
      </c>
      <c r="I101" s="22" t="s">
        <v>28</v>
      </c>
      <c r="J101" s="125">
        <v>0</v>
      </c>
      <c r="K101" s="125">
        <v>0</v>
      </c>
      <c r="L101" s="125">
        <v>202.679922</v>
      </c>
      <c r="M101" s="125">
        <v>277.30220499999996</v>
      </c>
      <c r="N101" s="125">
        <v>247.89325800000003</v>
      </c>
      <c r="O101" s="125">
        <v>13.140632567999999</v>
      </c>
      <c r="P101" s="126">
        <v>45659</v>
      </c>
      <c r="Q101" s="22" t="s">
        <v>279</v>
      </c>
      <c r="R101" s="22">
        <v>25</v>
      </c>
      <c r="S101" s="22" t="s">
        <v>104</v>
      </c>
      <c r="T101" s="22" t="s">
        <v>31</v>
      </c>
      <c r="U101" s="128">
        <v>0</v>
      </c>
      <c r="V101" s="128">
        <v>2663.3423839128995</v>
      </c>
      <c r="W101" s="128">
        <v>3643.9263862012117</v>
      </c>
      <c r="X101" s="127">
        <v>1</v>
      </c>
      <c r="Y101" s="127">
        <v>1</v>
      </c>
      <c r="Z101" s="128">
        <v>0</v>
      </c>
      <c r="AA101" s="128">
        <v>2663.3423839128995</v>
      </c>
      <c r="AB101" s="127">
        <v>0</v>
      </c>
      <c r="AC101" s="127">
        <v>1</v>
      </c>
      <c r="AD101" s="160">
        <v>2663.3423839128995</v>
      </c>
      <c r="AE101" s="164">
        <v>21183</v>
      </c>
      <c r="AF101" s="129">
        <v>16362.5</v>
      </c>
      <c r="AG101" s="129">
        <v>56417581.71842695</v>
      </c>
      <c r="AH101" s="165">
        <v>43578939.75677482</v>
      </c>
    </row>
    <row r="102" spans="2:34" hidden="1" x14ac:dyDescent="0.35">
      <c r="B102" s="180" t="s">
        <v>469</v>
      </c>
      <c r="C102" s="138" t="s">
        <v>274</v>
      </c>
      <c r="D102" s="22" t="s">
        <v>280</v>
      </c>
      <c r="E102" s="22" t="s">
        <v>24</v>
      </c>
      <c r="F102" s="22" t="s">
        <v>276</v>
      </c>
      <c r="G102" s="22" t="s">
        <v>281</v>
      </c>
      <c r="H102" s="22" t="s">
        <v>278</v>
      </c>
      <c r="I102" s="22" t="s">
        <v>28</v>
      </c>
      <c r="J102" s="125">
        <v>0</v>
      </c>
      <c r="K102" s="125">
        <v>0</v>
      </c>
      <c r="L102" s="125">
        <v>489.32885399999998</v>
      </c>
      <c r="M102" s="125">
        <v>679.57590400000004</v>
      </c>
      <c r="N102" s="125">
        <v>616.12939300000005</v>
      </c>
      <c r="O102" s="125">
        <v>4.0999999999999996</v>
      </c>
      <c r="P102" s="126">
        <v>45660</v>
      </c>
      <c r="Q102" s="22" t="s">
        <v>279</v>
      </c>
      <c r="R102" s="22">
        <v>25</v>
      </c>
      <c r="S102" s="22" t="s">
        <v>104</v>
      </c>
      <c r="T102" s="22" t="s">
        <v>31</v>
      </c>
      <c r="U102" s="128">
        <v>0</v>
      </c>
      <c r="V102" s="128">
        <v>2006.2483013999997</v>
      </c>
      <c r="W102" s="128">
        <v>2786.2612064</v>
      </c>
      <c r="X102" s="127">
        <v>1</v>
      </c>
      <c r="Y102" s="127">
        <v>1</v>
      </c>
      <c r="Z102" s="128">
        <v>0</v>
      </c>
      <c r="AA102" s="128">
        <v>2006.2483013999997</v>
      </c>
      <c r="AB102" s="127">
        <v>0</v>
      </c>
      <c r="AC102" s="127">
        <v>1</v>
      </c>
      <c r="AD102" s="160">
        <v>2006.2483013999997</v>
      </c>
      <c r="AE102" s="164">
        <v>21183</v>
      </c>
      <c r="AF102" s="129">
        <v>16362.5</v>
      </c>
      <c r="AG102" s="129">
        <v>42498357.768556193</v>
      </c>
      <c r="AH102" s="165">
        <v>32827237.831657495</v>
      </c>
    </row>
    <row r="103" spans="2:34" hidden="1" x14ac:dyDescent="0.35">
      <c r="B103" s="180" t="s">
        <v>469</v>
      </c>
      <c r="C103" s="138" t="s">
        <v>274</v>
      </c>
      <c r="D103" s="22" t="s">
        <v>280</v>
      </c>
      <c r="E103" s="22" t="s">
        <v>24</v>
      </c>
      <c r="F103" s="22" t="s">
        <v>25</v>
      </c>
      <c r="G103" s="22" t="s">
        <v>281</v>
      </c>
      <c r="H103" s="22" t="s">
        <v>278</v>
      </c>
      <c r="I103" s="22" t="s">
        <v>28</v>
      </c>
      <c r="J103" s="125">
        <v>0</v>
      </c>
      <c r="K103" s="125">
        <v>0</v>
      </c>
      <c r="L103" s="125">
        <v>111.82340599999999</v>
      </c>
      <c r="M103" s="125">
        <v>153.80927299999996</v>
      </c>
      <c r="N103" s="125">
        <v>139.39738</v>
      </c>
      <c r="O103" s="125">
        <v>4.0999999999999996</v>
      </c>
      <c r="P103" s="126">
        <v>45661</v>
      </c>
      <c r="Q103" s="22" t="s">
        <v>279</v>
      </c>
      <c r="R103" s="22">
        <v>25</v>
      </c>
      <c r="S103" s="22" t="s">
        <v>104</v>
      </c>
      <c r="T103" s="22" t="s">
        <v>31</v>
      </c>
      <c r="U103" s="128">
        <v>0</v>
      </c>
      <c r="V103" s="128">
        <v>458.47596459999994</v>
      </c>
      <c r="W103" s="128">
        <v>630.61801929999979</v>
      </c>
      <c r="X103" s="127">
        <v>1</v>
      </c>
      <c r="Y103" s="127">
        <v>1</v>
      </c>
      <c r="Z103" s="128">
        <v>0</v>
      </c>
      <c r="AA103" s="128">
        <v>458.47596459999994</v>
      </c>
      <c r="AB103" s="127">
        <v>0</v>
      </c>
      <c r="AC103" s="127">
        <v>1</v>
      </c>
      <c r="AD103" s="160">
        <v>458.47596459999994</v>
      </c>
      <c r="AE103" s="164">
        <v>21183</v>
      </c>
      <c r="AF103" s="129">
        <v>16362.5</v>
      </c>
      <c r="AG103" s="129">
        <v>9711896.3581217993</v>
      </c>
      <c r="AH103" s="165">
        <v>7501812.9707674989</v>
      </c>
    </row>
    <row r="104" spans="2:34" hidden="1" x14ac:dyDescent="0.35">
      <c r="B104" s="180" t="s">
        <v>469</v>
      </c>
      <c r="C104" s="138" t="s">
        <v>274</v>
      </c>
      <c r="D104" s="22" t="s">
        <v>282</v>
      </c>
      <c r="E104" s="22" t="s">
        <v>44</v>
      </c>
      <c r="F104" s="22" t="s">
        <v>283</v>
      </c>
      <c r="G104" s="22" t="s">
        <v>284</v>
      </c>
      <c r="H104" s="22" t="s">
        <v>278</v>
      </c>
      <c r="I104" s="22" t="s">
        <v>28</v>
      </c>
      <c r="J104" s="125">
        <v>0</v>
      </c>
      <c r="K104" s="125">
        <v>0</v>
      </c>
      <c r="L104" s="125">
        <v>96.979577000000006</v>
      </c>
      <c r="M104" s="125">
        <v>176.399968</v>
      </c>
      <c r="N104" s="125">
        <v>164.14786700000002</v>
      </c>
      <c r="O104" s="125">
        <v>13.000010889</v>
      </c>
      <c r="P104" s="126">
        <v>45662</v>
      </c>
      <c r="Q104" s="22" t="s">
        <v>285</v>
      </c>
      <c r="R104" s="22">
        <v>25</v>
      </c>
      <c r="S104" s="22" t="s">
        <v>104</v>
      </c>
      <c r="T104" s="22" t="s">
        <v>31</v>
      </c>
      <c r="U104" s="128">
        <v>0</v>
      </c>
      <c r="V104" s="128">
        <v>1260.735557010614</v>
      </c>
      <c r="W104" s="128">
        <v>2293.2015048192516</v>
      </c>
      <c r="X104" s="127">
        <v>1</v>
      </c>
      <c r="Y104" s="127">
        <v>1</v>
      </c>
      <c r="Z104" s="128">
        <v>0</v>
      </c>
      <c r="AA104" s="128">
        <v>1260.735557010614</v>
      </c>
      <c r="AB104" s="127">
        <v>0</v>
      </c>
      <c r="AC104" s="127">
        <v>1</v>
      </c>
      <c r="AD104" s="160">
        <v>1260.735557010614</v>
      </c>
      <c r="AE104" s="164">
        <v>21183</v>
      </c>
      <c r="AF104" s="129">
        <v>16362.5</v>
      </c>
      <c r="AG104" s="129">
        <v>26706161.304155838</v>
      </c>
      <c r="AH104" s="165">
        <v>20628785.55158617</v>
      </c>
    </row>
    <row r="105" spans="2:34" hidden="1" x14ac:dyDescent="0.35">
      <c r="B105" s="180" t="s">
        <v>469</v>
      </c>
      <c r="C105" s="138" t="s">
        <v>274</v>
      </c>
      <c r="D105" s="22" t="s">
        <v>282</v>
      </c>
      <c r="E105" s="22" t="s">
        <v>44</v>
      </c>
      <c r="F105" s="22" t="s">
        <v>276</v>
      </c>
      <c r="G105" s="22" t="s">
        <v>284</v>
      </c>
      <c r="H105" s="22" t="s">
        <v>278</v>
      </c>
      <c r="I105" s="22" t="s">
        <v>28</v>
      </c>
      <c r="J105" s="125">
        <v>0</v>
      </c>
      <c r="K105" s="125">
        <v>0</v>
      </c>
      <c r="L105" s="125">
        <v>164.39529200000004</v>
      </c>
      <c r="M105" s="125">
        <v>262.11780400000004</v>
      </c>
      <c r="N105" s="125">
        <v>233.58828</v>
      </c>
      <c r="O105" s="125">
        <v>13.000010889</v>
      </c>
      <c r="P105" s="126">
        <v>45663</v>
      </c>
      <c r="Q105" s="22" t="s">
        <v>285</v>
      </c>
      <c r="R105" s="22">
        <v>25</v>
      </c>
      <c r="S105" s="22" t="s">
        <v>104</v>
      </c>
      <c r="T105" s="22" t="s">
        <v>31</v>
      </c>
      <c r="U105" s="128">
        <v>0</v>
      </c>
      <c r="V105" s="128">
        <v>2137.140586100335</v>
      </c>
      <c r="W105" s="128">
        <v>3407.5343062007682</v>
      </c>
      <c r="X105" s="127">
        <v>1</v>
      </c>
      <c r="Y105" s="127">
        <v>1</v>
      </c>
      <c r="Z105" s="128">
        <v>0</v>
      </c>
      <c r="AA105" s="128">
        <v>2137.140586100335</v>
      </c>
      <c r="AB105" s="127">
        <v>0</v>
      </c>
      <c r="AC105" s="127">
        <v>1</v>
      </c>
      <c r="AD105" s="160">
        <v>2137.140586100335</v>
      </c>
      <c r="AE105" s="164">
        <v>21183</v>
      </c>
      <c r="AF105" s="129">
        <v>16362.5</v>
      </c>
      <c r="AG105" s="129">
        <v>45271049.035363398</v>
      </c>
      <c r="AH105" s="165">
        <v>34968962.840066731</v>
      </c>
    </row>
    <row r="106" spans="2:34" hidden="1" x14ac:dyDescent="0.35">
      <c r="B106" s="180" t="s">
        <v>469</v>
      </c>
      <c r="C106" s="138" t="s">
        <v>274</v>
      </c>
      <c r="D106" s="22" t="s">
        <v>282</v>
      </c>
      <c r="E106" s="22" t="s">
        <v>44</v>
      </c>
      <c r="F106" s="22" t="s">
        <v>25</v>
      </c>
      <c r="G106" s="22" t="s">
        <v>284</v>
      </c>
      <c r="H106" s="22" t="s">
        <v>278</v>
      </c>
      <c r="I106" s="22" t="s">
        <v>28</v>
      </c>
      <c r="J106" s="125">
        <v>0</v>
      </c>
      <c r="K106" s="125">
        <v>0</v>
      </c>
      <c r="L106" s="125">
        <v>140.150476</v>
      </c>
      <c r="M106" s="125">
        <v>86.841848999999996</v>
      </c>
      <c r="N106" s="125">
        <v>53.373398999999999</v>
      </c>
      <c r="O106" s="125">
        <v>13.000010889</v>
      </c>
      <c r="P106" s="126">
        <v>45664</v>
      </c>
      <c r="Q106" s="22" t="s">
        <v>285</v>
      </c>
      <c r="R106" s="22">
        <v>25</v>
      </c>
      <c r="S106" s="22" t="s">
        <v>104</v>
      </c>
      <c r="T106" s="22" t="s">
        <v>31</v>
      </c>
      <c r="U106" s="128">
        <v>0</v>
      </c>
      <c r="V106" s="128">
        <v>1821.9577140985332</v>
      </c>
      <c r="W106" s="128">
        <v>1128.9449826208938</v>
      </c>
      <c r="X106" s="127">
        <v>1</v>
      </c>
      <c r="Y106" s="127">
        <v>1</v>
      </c>
      <c r="Z106" s="128">
        <v>0</v>
      </c>
      <c r="AA106" s="128">
        <v>1821.9577140985332</v>
      </c>
      <c r="AB106" s="127">
        <v>0</v>
      </c>
      <c r="AC106" s="127">
        <v>1</v>
      </c>
      <c r="AD106" s="160">
        <v>1821.9577140985332</v>
      </c>
      <c r="AE106" s="164">
        <v>21183</v>
      </c>
      <c r="AF106" s="129">
        <v>16362.5</v>
      </c>
      <c r="AG106" s="129">
        <v>38594530.25774923</v>
      </c>
      <c r="AH106" s="165">
        <v>29811783.09693725</v>
      </c>
    </row>
    <row r="107" spans="2:34" hidden="1" x14ac:dyDescent="0.35">
      <c r="B107" s="180" t="s">
        <v>43</v>
      </c>
      <c r="C107" s="138" t="s">
        <v>286</v>
      </c>
      <c r="D107" s="22" t="s">
        <v>43</v>
      </c>
      <c r="E107" s="22" t="s">
        <v>24</v>
      </c>
      <c r="F107" s="22" t="s">
        <v>25</v>
      </c>
      <c r="G107" s="22" t="s">
        <v>287</v>
      </c>
      <c r="H107" s="22" t="s">
        <v>163</v>
      </c>
      <c r="I107" s="22" t="s">
        <v>28</v>
      </c>
      <c r="J107" s="125">
        <v>72</v>
      </c>
      <c r="K107" s="125">
        <v>72</v>
      </c>
      <c r="L107" s="125">
        <v>72</v>
      </c>
      <c r="M107" s="125">
        <v>72</v>
      </c>
      <c r="N107" s="125">
        <v>72</v>
      </c>
      <c r="O107" s="125">
        <v>10.44</v>
      </c>
      <c r="P107" s="126">
        <v>43221</v>
      </c>
      <c r="Q107" s="22" t="s">
        <v>288</v>
      </c>
      <c r="R107" s="22" t="s">
        <v>41</v>
      </c>
      <c r="S107" s="22" t="s">
        <v>47</v>
      </c>
      <c r="T107" s="22" t="s">
        <v>47</v>
      </c>
      <c r="U107" s="128">
        <v>751.68</v>
      </c>
      <c r="V107" s="128">
        <v>751.68</v>
      </c>
      <c r="W107" s="128">
        <v>751.68</v>
      </c>
      <c r="X107" s="127">
        <v>0.3</v>
      </c>
      <c r="Y107" s="127">
        <v>0.3</v>
      </c>
      <c r="Z107" s="128">
        <v>225.50399999999999</v>
      </c>
      <c r="AA107" s="128">
        <v>225.50399999999999</v>
      </c>
      <c r="AB107" s="127">
        <v>0.65</v>
      </c>
      <c r="AC107" s="127">
        <v>0.35</v>
      </c>
      <c r="AD107" s="160">
        <v>225.50399999999996</v>
      </c>
      <c r="AE107" s="164">
        <v>11542</v>
      </c>
      <c r="AF107" s="129">
        <v>11542</v>
      </c>
      <c r="AG107" s="129">
        <v>2602767.1679999996</v>
      </c>
      <c r="AH107" s="165">
        <v>2602767.1679999996</v>
      </c>
    </row>
    <row r="108" spans="2:34" x14ac:dyDescent="0.35">
      <c r="B108" s="180" t="s">
        <v>43</v>
      </c>
      <c r="C108" s="138" t="s">
        <v>289</v>
      </c>
      <c r="D108" s="22" t="s">
        <v>43</v>
      </c>
      <c r="E108" s="22" t="s">
        <v>81</v>
      </c>
      <c r="F108" s="22" t="s">
        <v>25</v>
      </c>
      <c r="G108" s="22" t="s">
        <v>294</v>
      </c>
      <c r="H108" s="22" t="s">
        <v>351</v>
      </c>
      <c r="I108" s="22" t="s">
        <v>28</v>
      </c>
      <c r="J108" s="125">
        <v>5220.6623180000006</v>
      </c>
      <c r="K108" s="125">
        <v>5865.0566500000004</v>
      </c>
      <c r="L108" s="125">
        <v>6261.0707719999991</v>
      </c>
      <c r="M108" s="125">
        <v>5832.3219369999997</v>
      </c>
      <c r="N108" s="125">
        <v>4505.9488749999991</v>
      </c>
      <c r="O108" s="125">
        <v>8.9600000000000009</v>
      </c>
      <c r="P108" s="126">
        <v>44409</v>
      </c>
      <c r="Q108" s="22" t="s">
        <v>295</v>
      </c>
      <c r="R108" s="22" t="s">
        <v>41</v>
      </c>
      <c r="S108" s="22" t="s">
        <v>42</v>
      </c>
      <c r="T108" s="22" t="s">
        <v>42</v>
      </c>
      <c r="U108" s="128">
        <v>52550.907584000008</v>
      </c>
      <c r="V108" s="128">
        <v>56099.194117119994</v>
      </c>
      <c r="W108" s="128">
        <v>52257.604555520003</v>
      </c>
      <c r="X108" s="127">
        <v>0.8</v>
      </c>
      <c r="Y108" s="127">
        <v>0.6</v>
      </c>
      <c r="Z108" s="128">
        <v>42040.726067200012</v>
      </c>
      <c r="AA108" s="128">
        <v>33659.516470271992</v>
      </c>
      <c r="AB108" s="127">
        <v>0.65</v>
      </c>
      <c r="AC108" s="127">
        <v>0.35</v>
      </c>
      <c r="AD108" s="160">
        <v>39107.302708275209</v>
      </c>
      <c r="AE108" s="164">
        <v>11542</v>
      </c>
      <c r="AF108" s="129">
        <v>11542</v>
      </c>
      <c r="AG108" s="129">
        <v>451376487.85891247</v>
      </c>
      <c r="AH108" s="165">
        <v>451376487.85891247</v>
      </c>
    </row>
    <row r="109" spans="2:34" hidden="1" x14ac:dyDescent="0.35">
      <c r="B109" s="180" t="s">
        <v>43</v>
      </c>
      <c r="C109" s="138" t="s">
        <v>309</v>
      </c>
      <c r="D109" s="22" t="s">
        <v>310</v>
      </c>
      <c r="E109" s="22" t="s">
        <v>311</v>
      </c>
      <c r="F109" s="22" t="s">
        <v>25</v>
      </c>
      <c r="G109" s="22" t="s">
        <v>312</v>
      </c>
      <c r="H109" s="22" t="s">
        <v>313</v>
      </c>
      <c r="I109" s="22" t="s">
        <v>28</v>
      </c>
      <c r="J109" s="125">
        <v>0</v>
      </c>
      <c r="K109" s="125">
        <v>0</v>
      </c>
      <c r="L109" s="125">
        <v>0</v>
      </c>
      <c r="M109" s="125">
        <v>30.409022</v>
      </c>
      <c r="N109" s="125">
        <v>309.60368899999997</v>
      </c>
      <c r="O109" s="125">
        <v>3</v>
      </c>
      <c r="P109" s="126">
        <v>46267</v>
      </c>
      <c r="Q109" s="22"/>
      <c r="R109" s="22" t="s">
        <v>103</v>
      </c>
      <c r="S109" s="22" t="s">
        <v>104</v>
      </c>
      <c r="T109" s="22" t="s">
        <v>72</v>
      </c>
      <c r="U109" s="128">
        <v>0</v>
      </c>
      <c r="V109" s="128">
        <v>0</v>
      </c>
      <c r="W109" s="128">
        <v>91.227066000000008</v>
      </c>
      <c r="X109" s="127" t="s">
        <v>72</v>
      </c>
      <c r="Y109" s="127" t="s">
        <v>72</v>
      </c>
      <c r="Z109" s="128" t="s">
        <v>32</v>
      </c>
      <c r="AA109" s="128" t="s">
        <v>32</v>
      </c>
      <c r="AB109" s="127" t="s">
        <v>72</v>
      </c>
      <c r="AC109" s="127" t="s">
        <v>72</v>
      </c>
      <c r="AD109" s="160">
        <v>0</v>
      </c>
      <c r="AE109" s="164">
        <v>11542</v>
      </c>
      <c r="AF109" s="129">
        <v>11542</v>
      </c>
      <c r="AG109" s="129">
        <v>0</v>
      </c>
      <c r="AH109" s="165">
        <v>0</v>
      </c>
    </row>
    <row r="110" spans="2:34" hidden="1" x14ac:dyDescent="0.35">
      <c r="B110" s="180" t="s">
        <v>43</v>
      </c>
      <c r="C110" s="138" t="s">
        <v>309</v>
      </c>
      <c r="D110" s="22" t="s">
        <v>314</v>
      </c>
      <c r="E110" s="22" t="s">
        <v>311</v>
      </c>
      <c r="F110" s="22" t="s">
        <v>25</v>
      </c>
      <c r="G110" s="22" t="s">
        <v>315</v>
      </c>
      <c r="H110" s="22" t="s">
        <v>313</v>
      </c>
      <c r="I110" s="22" t="s">
        <v>28</v>
      </c>
      <c r="J110" s="125">
        <v>0</v>
      </c>
      <c r="K110" s="125">
        <v>0</v>
      </c>
      <c r="L110" s="125">
        <v>0</v>
      </c>
      <c r="M110" s="125">
        <v>4.5613530000000004</v>
      </c>
      <c r="N110" s="125">
        <v>46.440554999999996</v>
      </c>
      <c r="O110" s="125">
        <v>12.4</v>
      </c>
      <c r="P110" s="126">
        <v>46270</v>
      </c>
      <c r="Q110" s="22"/>
      <c r="R110" s="22" t="s">
        <v>103</v>
      </c>
      <c r="S110" s="22" t="s">
        <v>104</v>
      </c>
      <c r="T110" s="22" t="s">
        <v>72</v>
      </c>
      <c r="U110" s="128">
        <v>0</v>
      </c>
      <c r="V110" s="128">
        <v>0</v>
      </c>
      <c r="W110" s="128">
        <v>56.560777200000004</v>
      </c>
      <c r="X110" s="127" t="s">
        <v>72</v>
      </c>
      <c r="Y110" s="127" t="s">
        <v>72</v>
      </c>
      <c r="Z110" s="128" t="s">
        <v>32</v>
      </c>
      <c r="AA110" s="128" t="s">
        <v>32</v>
      </c>
      <c r="AB110" s="127" t="s">
        <v>72</v>
      </c>
      <c r="AC110" s="127" t="s">
        <v>72</v>
      </c>
      <c r="AD110" s="160">
        <v>0</v>
      </c>
      <c r="AE110" s="164">
        <v>11542</v>
      </c>
      <c r="AF110" s="129">
        <v>11542</v>
      </c>
      <c r="AG110" s="129">
        <v>0</v>
      </c>
      <c r="AH110" s="165">
        <v>0</v>
      </c>
    </row>
    <row r="111" spans="2:34" hidden="1" x14ac:dyDescent="0.35">
      <c r="B111" s="180" t="s">
        <v>43</v>
      </c>
      <c r="C111" s="138" t="s">
        <v>309</v>
      </c>
      <c r="D111" s="22" t="s">
        <v>316</v>
      </c>
      <c r="E111" s="22" t="s">
        <v>311</v>
      </c>
      <c r="F111" s="22" t="s">
        <v>25</v>
      </c>
      <c r="G111" s="22" t="s">
        <v>317</v>
      </c>
      <c r="H111" s="22" t="s">
        <v>313</v>
      </c>
      <c r="I111" s="22" t="s">
        <v>28</v>
      </c>
      <c r="J111" s="125">
        <v>0</v>
      </c>
      <c r="K111" s="125">
        <v>0</v>
      </c>
      <c r="L111" s="125">
        <v>0</v>
      </c>
      <c r="M111" s="125">
        <v>41.05218</v>
      </c>
      <c r="N111" s="125">
        <v>417.96498100000002</v>
      </c>
      <c r="O111" s="125">
        <v>12.4</v>
      </c>
      <c r="P111" s="126">
        <v>46273</v>
      </c>
      <c r="Q111" s="22"/>
      <c r="R111" s="22" t="s">
        <v>103</v>
      </c>
      <c r="S111" s="22" t="s">
        <v>104</v>
      </c>
      <c r="T111" s="22" t="s">
        <v>72</v>
      </c>
      <c r="U111" s="128">
        <v>0</v>
      </c>
      <c r="V111" s="128">
        <v>0</v>
      </c>
      <c r="W111" s="128">
        <v>509.047032</v>
      </c>
      <c r="X111" s="127" t="s">
        <v>72</v>
      </c>
      <c r="Y111" s="127" t="s">
        <v>72</v>
      </c>
      <c r="Z111" s="128" t="s">
        <v>32</v>
      </c>
      <c r="AA111" s="128" t="s">
        <v>32</v>
      </c>
      <c r="AB111" s="127" t="s">
        <v>72</v>
      </c>
      <c r="AC111" s="127" t="s">
        <v>72</v>
      </c>
      <c r="AD111" s="160">
        <v>0</v>
      </c>
      <c r="AE111" s="164">
        <v>11542</v>
      </c>
      <c r="AF111" s="129">
        <v>11542</v>
      </c>
      <c r="AG111" s="129">
        <v>0</v>
      </c>
      <c r="AH111" s="165">
        <v>0</v>
      </c>
    </row>
    <row r="112" spans="2:34" hidden="1" x14ac:dyDescent="0.35">
      <c r="B112" s="180" t="s">
        <v>43</v>
      </c>
      <c r="C112" s="138" t="s">
        <v>320</v>
      </c>
      <c r="D112" s="22" t="s">
        <v>321</v>
      </c>
      <c r="E112" s="22">
        <v>1</v>
      </c>
      <c r="F112" s="22" t="s">
        <v>25</v>
      </c>
      <c r="G112" s="22" t="s">
        <v>322</v>
      </c>
      <c r="H112" s="22" t="s">
        <v>323</v>
      </c>
      <c r="I112" s="22" t="s">
        <v>28</v>
      </c>
      <c r="J112" s="125">
        <v>0</v>
      </c>
      <c r="K112" s="125">
        <v>0</v>
      </c>
      <c r="L112" s="125">
        <v>231.89103499999999</v>
      </c>
      <c r="M112" s="125">
        <v>707.8490589999999</v>
      </c>
      <c r="N112" s="125">
        <v>594.28117799999995</v>
      </c>
      <c r="O112" s="125">
        <v>8.5143455089999893</v>
      </c>
      <c r="P112" s="126">
        <v>45810</v>
      </c>
      <c r="Q112" s="22"/>
      <c r="R112" s="22">
        <v>25</v>
      </c>
      <c r="S112" s="22" t="s">
        <v>104</v>
      </c>
      <c r="T112" s="22" t="s">
        <v>73</v>
      </c>
      <c r="U112" s="128">
        <v>0</v>
      </c>
      <c r="V112" s="128">
        <v>1974.4003924296092</v>
      </c>
      <c r="W112" s="128">
        <v>6026.8714565465179</v>
      </c>
      <c r="X112" s="127">
        <v>1</v>
      </c>
      <c r="Y112" s="127">
        <v>1</v>
      </c>
      <c r="Z112" s="128">
        <v>0</v>
      </c>
      <c r="AA112" s="128">
        <v>1974.4003924296092</v>
      </c>
      <c r="AB112" s="127">
        <v>0</v>
      </c>
      <c r="AC112" s="127">
        <v>0.7</v>
      </c>
      <c r="AD112" s="160">
        <v>1382.0802747007262</v>
      </c>
      <c r="AE112" s="164">
        <v>11542</v>
      </c>
      <c r="AF112" s="129">
        <v>11542</v>
      </c>
      <c r="AG112" s="129">
        <v>15951970.530595783</v>
      </c>
      <c r="AH112" s="165">
        <v>15951970.530595783</v>
      </c>
    </row>
    <row r="113" spans="2:34" hidden="1" x14ac:dyDescent="0.35">
      <c r="B113" s="180" t="s">
        <v>43</v>
      </c>
      <c r="C113" s="138" t="s">
        <v>320</v>
      </c>
      <c r="D113" s="22" t="s">
        <v>75</v>
      </c>
      <c r="E113" s="22" t="s">
        <v>24</v>
      </c>
      <c r="F113" s="22" t="s">
        <v>25</v>
      </c>
      <c r="G113" s="22" t="s">
        <v>324</v>
      </c>
      <c r="H113" s="22" t="s">
        <v>325</v>
      </c>
      <c r="I113" s="22" t="s">
        <v>28</v>
      </c>
      <c r="J113" s="125">
        <v>2945.2762080000002</v>
      </c>
      <c r="K113" s="125">
        <v>2369.1981080000005</v>
      </c>
      <c r="L113" s="125">
        <v>1936.0329949999998</v>
      </c>
      <c r="M113" s="125">
        <v>1010.0792510000001</v>
      </c>
      <c r="N113" s="125">
        <v>793.16848299999992</v>
      </c>
      <c r="O113" s="125">
        <v>6.47799999999999</v>
      </c>
      <c r="P113" s="126">
        <v>43115</v>
      </c>
      <c r="Q113" s="22" t="s">
        <v>326</v>
      </c>
      <c r="R113" s="22" t="s">
        <v>41</v>
      </c>
      <c r="S113" s="22" t="s">
        <v>47</v>
      </c>
      <c r="T113" s="22" t="s">
        <v>47</v>
      </c>
      <c r="U113" s="128">
        <v>15347.665343623979</v>
      </c>
      <c r="V113" s="128">
        <v>12541.621741609979</v>
      </c>
      <c r="W113" s="128">
        <v>6543.2933879779903</v>
      </c>
      <c r="X113" s="127">
        <v>0.3</v>
      </c>
      <c r="Y113" s="127">
        <v>0.3</v>
      </c>
      <c r="Z113" s="128">
        <v>4604.2996030871936</v>
      </c>
      <c r="AA113" s="128">
        <v>3762.4865224829937</v>
      </c>
      <c r="AB113" s="127">
        <v>0.65</v>
      </c>
      <c r="AC113" s="127">
        <v>0.35</v>
      </c>
      <c r="AD113" s="160">
        <v>4309.6650248757242</v>
      </c>
      <c r="AE113" s="164">
        <v>11542</v>
      </c>
      <c r="AF113" s="129">
        <v>11542</v>
      </c>
      <c r="AG113" s="129">
        <v>49742153.717115611</v>
      </c>
      <c r="AH113" s="165">
        <v>49742153.717115611</v>
      </c>
    </row>
    <row r="114" spans="2:34" hidden="1" x14ac:dyDescent="0.35">
      <c r="B114" s="180" t="s">
        <v>43</v>
      </c>
      <c r="C114" s="138" t="s">
        <v>320</v>
      </c>
      <c r="D114" s="22" t="s">
        <v>75</v>
      </c>
      <c r="E114" s="22" t="s">
        <v>44</v>
      </c>
      <c r="F114" s="22" t="s">
        <v>90</v>
      </c>
      <c r="G114" s="22" t="s">
        <v>327</v>
      </c>
      <c r="H114" s="22" t="s">
        <v>325</v>
      </c>
      <c r="I114" s="22" t="s">
        <v>28</v>
      </c>
      <c r="J114" s="125">
        <v>1135.3890749999998</v>
      </c>
      <c r="K114" s="125">
        <v>1057.4694460000001</v>
      </c>
      <c r="L114" s="125">
        <v>1056.5041650000001</v>
      </c>
      <c r="M114" s="125">
        <v>973.75348800000006</v>
      </c>
      <c r="N114" s="125">
        <v>879.03878999999995</v>
      </c>
      <c r="O114" s="125">
        <v>8.8552</v>
      </c>
      <c r="P114" s="126">
        <v>43115</v>
      </c>
      <c r="Q114" s="22" t="s">
        <v>32</v>
      </c>
      <c r="R114" s="22" t="s">
        <v>41</v>
      </c>
      <c r="S114" s="22" t="s">
        <v>47</v>
      </c>
      <c r="T114" s="22" t="s">
        <v>47</v>
      </c>
      <c r="U114" s="128">
        <v>9364.1034382192011</v>
      </c>
      <c r="V114" s="128">
        <v>9355.5556819080011</v>
      </c>
      <c r="W114" s="128">
        <v>8622.7818869376006</v>
      </c>
      <c r="X114" s="127">
        <v>0.3</v>
      </c>
      <c r="Y114" s="127">
        <v>0.3</v>
      </c>
      <c r="Z114" s="128">
        <v>2809.2310314657602</v>
      </c>
      <c r="AA114" s="128">
        <v>2806.6667045724002</v>
      </c>
      <c r="AB114" s="127">
        <v>0.65</v>
      </c>
      <c r="AC114" s="127">
        <v>0.35</v>
      </c>
      <c r="AD114" s="160">
        <v>2808.3335170530845</v>
      </c>
      <c r="AE114" s="164">
        <v>11542</v>
      </c>
      <c r="AF114" s="129">
        <v>11542</v>
      </c>
      <c r="AG114" s="129">
        <v>32413785.453826703</v>
      </c>
      <c r="AH114" s="165">
        <v>32413785.453826703</v>
      </c>
    </row>
    <row r="115" spans="2:34" hidden="1" x14ac:dyDescent="0.35">
      <c r="B115" s="180" t="s">
        <v>43</v>
      </c>
      <c r="C115" s="138" t="s">
        <v>320</v>
      </c>
      <c r="D115" s="22" t="s">
        <v>75</v>
      </c>
      <c r="E115" s="22" t="s">
        <v>112</v>
      </c>
      <c r="F115" s="22" t="s">
        <v>25</v>
      </c>
      <c r="G115" s="22" t="s">
        <v>328</v>
      </c>
      <c r="H115" s="22" t="s">
        <v>329</v>
      </c>
      <c r="I115" s="22" t="s">
        <v>28</v>
      </c>
      <c r="J115" s="125">
        <v>4748.7291839999998</v>
      </c>
      <c r="K115" s="125">
        <v>4664.1173309999995</v>
      </c>
      <c r="L115" s="125">
        <v>4562.3866039999994</v>
      </c>
      <c r="M115" s="125">
        <v>4151.0364129999998</v>
      </c>
      <c r="N115" s="125">
        <v>3671.4162540000007</v>
      </c>
      <c r="O115" s="125">
        <v>5.4964933499999997</v>
      </c>
      <c r="P115" s="126">
        <v>44378</v>
      </c>
      <c r="Q115" s="22" t="s">
        <v>330</v>
      </c>
      <c r="R115" s="22" t="s">
        <v>41</v>
      </c>
      <c r="S115" s="22" t="s">
        <v>42</v>
      </c>
      <c r="T115" s="22" t="s">
        <v>42</v>
      </c>
      <c r="U115" s="128">
        <v>25636.289893461246</v>
      </c>
      <c r="V115" s="128">
        <v>25077.127629015078</v>
      </c>
      <c r="W115" s="128">
        <v>22816.144039662351</v>
      </c>
      <c r="X115" s="127">
        <v>0.8</v>
      </c>
      <c r="Y115" s="127">
        <v>0.6</v>
      </c>
      <c r="Z115" s="128">
        <v>20509.031914768999</v>
      </c>
      <c r="AA115" s="128">
        <v>15046.276577409046</v>
      </c>
      <c r="AB115" s="127">
        <v>0.65</v>
      </c>
      <c r="AC115" s="127">
        <v>0.35</v>
      </c>
      <c r="AD115" s="160">
        <v>18597.067546693015</v>
      </c>
      <c r="AE115" s="164">
        <v>11542</v>
      </c>
      <c r="AF115" s="129">
        <v>11542</v>
      </c>
      <c r="AG115" s="129">
        <v>214647353.62393078</v>
      </c>
      <c r="AH115" s="165">
        <v>214647353.62393078</v>
      </c>
    </row>
    <row r="116" spans="2:34" hidden="1" x14ac:dyDescent="0.35">
      <c r="B116" s="180" t="s">
        <v>43</v>
      </c>
      <c r="C116" s="138" t="s">
        <v>320</v>
      </c>
      <c r="D116" s="22" t="s">
        <v>75</v>
      </c>
      <c r="E116" s="22" t="s">
        <v>157</v>
      </c>
      <c r="F116" s="22" t="s">
        <v>25</v>
      </c>
      <c r="G116" s="22" t="s">
        <v>331</v>
      </c>
      <c r="H116" s="22" t="s">
        <v>329</v>
      </c>
      <c r="I116" s="22" t="s">
        <v>28</v>
      </c>
      <c r="J116" s="125">
        <v>11080.368099000003</v>
      </c>
      <c r="K116" s="125">
        <v>10882.940443000001</v>
      </c>
      <c r="L116" s="125">
        <v>10645.568739999999</v>
      </c>
      <c r="M116" s="125">
        <v>9685.751628</v>
      </c>
      <c r="N116" s="125">
        <v>8566.6379240000006</v>
      </c>
      <c r="O116" s="125">
        <v>10.49649335</v>
      </c>
      <c r="P116" s="126">
        <v>44378</v>
      </c>
      <c r="Q116" s="22" t="s">
        <v>330</v>
      </c>
      <c r="R116" s="22" t="s">
        <v>41</v>
      </c>
      <c r="S116" s="22" t="s">
        <v>42</v>
      </c>
      <c r="T116" s="22" t="s">
        <v>42</v>
      </c>
      <c r="U116" s="128">
        <v>114232.71198839556</v>
      </c>
      <c r="V116" s="128">
        <v>111741.14148637786</v>
      </c>
      <c r="W116" s="128">
        <v>101666.42755305367</v>
      </c>
      <c r="X116" s="127">
        <v>0.8</v>
      </c>
      <c r="Y116" s="127">
        <v>0.6</v>
      </c>
      <c r="Z116" s="128">
        <v>91386.169590716454</v>
      </c>
      <c r="AA116" s="128">
        <v>67044.684891826721</v>
      </c>
      <c r="AB116" s="127">
        <v>0.65</v>
      </c>
      <c r="AC116" s="127">
        <v>0.35</v>
      </c>
      <c r="AD116" s="160">
        <v>82866.649946105041</v>
      </c>
      <c r="AE116" s="164">
        <v>11542</v>
      </c>
      <c r="AF116" s="129">
        <v>11542</v>
      </c>
      <c r="AG116" s="129">
        <v>956446873.67794442</v>
      </c>
      <c r="AH116" s="165">
        <v>956446873.67794442</v>
      </c>
    </row>
    <row r="117" spans="2:34" hidden="1" x14ac:dyDescent="0.35">
      <c r="B117" s="180" t="s">
        <v>43</v>
      </c>
      <c r="C117" s="138" t="s">
        <v>320</v>
      </c>
      <c r="D117" s="22" t="s">
        <v>43</v>
      </c>
      <c r="E117" s="22" t="s">
        <v>81</v>
      </c>
      <c r="F117" s="22" t="s">
        <v>90</v>
      </c>
      <c r="G117" s="22" t="s">
        <v>332</v>
      </c>
      <c r="H117" s="22" t="s">
        <v>329</v>
      </c>
      <c r="I117" s="22" t="s">
        <v>28</v>
      </c>
      <c r="J117" s="125">
        <v>3300.161724</v>
      </c>
      <c r="K117" s="125">
        <v>3069.0001439999996</v>
      </c>
      <c r="L117" s="125">
        <v>2904</v>
      </c>
      <c r="M117" s="125">
        <v>2904</v>
      </c>
      <c r="N117" s="125">
        <v>2904</v>
      </c>
      <c r="O117" s="125">
        <v>6.1</v>
      </c>
      <c r="P117" s="126">
        <v>42736</v>
      </c>
      <c r="Q117" s="22" t="s">
        <v>333</v>
      </c>
      <c r="R117" s="22" t="s">
        <v>41</v>
      </c>
      <c r="S117" s="22" t="s">
        <v>57</v>
      </c>
      <c r="T117" s="22" t="s">
        <v>98</v>
      </c>
      <c r="U117" s="128">
        <v>18720.900878399996</v>
      </c>
      <c r="V117" s="128">
        <v>17714.399999999998</v>
      </c>
      <c r="W117" s="128">
        <v>17714.399999999998</v>
      </c>
      <c r="X117" s="127">
        <v>0.15</v>
      </c>
      <c r="Y117" s="127">
        <v>0.15</v>
      </c>
      <c r="Z117" s="128">
        <v>2808.1351317599992</v>
      </c>
      <c r="AA117" s="128">
        <v>2657.1599999999994</v>
      </c>
      <c r="AB117" s="127">
        <v>0.65</v>
      </c>
      <c r="AC117" s="127">
        <v>0.35</v>
      </c>
      <c r="AD117" s="160">
        <v>2755.2938356439995</v>
      </c>
      <c r="AE117" s="164">
        <v>11542</v>
      </c>
      <c r="AF117" s="129">
        <v>11542</v>
      </c>
      <c r="AG117" s="129">
        <v>31801601.451003041</v>
      </c>
      <c r="AH117" s="165">
        <v>31801601.451003041</v>
      </c>
    </row>
    <row r="118" spans="2:34" hidden="1" x14ac:dyDescent="0.35">
      <c r="B118" s="180" t="s">
        <v>43</v>
      </c>
      <c r="C118" s="138" t="s">
        <v>320</v>
      </c>
      <c r="D118" s="22" t="s">
        <v>43</v>
      </c>
      <c r="E118" s="22" t="s">
        <v>157</v>
      </c>
      <c r="F118" s="22" t="s">
        <v>25</v>
      </c>
      <c r="G118" s="22" t="s">
        <v>334</v>
      </c>
      <c r="H118" s="22" t="s">
        <v>329</v>
      </c>
      <c r="I118" s="22" t="s">
        <v>28</v>
      </c>
      <c r="J118" s="125">
        <v>0</v>
      </c>
      <c r="K118" s="125">
        <v>0</v>
      </c>
      <c r="L118" s="125">
        <v>149.951662</v>
      </c>
      <c r="M118" s="125">
        <v>536.12420900000006</v>
      </c>
      <c r="N118" s="125">
        <v>497.44908199999998</v>
      </c>
      <c r="O118" s="125">
        <v>8.9600000000000009</v>
      </c>
      <c r="P118" s="126">
        <v>45810</v>
      </c>
      <c r="Q118" s="22"/>
      <c r="R118" s="22">
        <v>25</v>
      </c>
      <c r="S118" s="22" t="s">
        <v>104</v>
      </c>
      <c r="T118" s="22" t="s">
        <v>73</v>
      </c>
      <c r="U118" s="128">
        <v>0</v>
      </c>
      <c r="V118" s="128">
        <v>1343.5668915200001</v>
      </c>
      <c r="W118" s="128">
        <v>4803.6729126400014</v>
      </c>
      <c r="X118" s="127">
        <v>1</v>
      </c>
      <c r="Y118" s="127">
        <v>1</v>
      </c>
      <c r="Z118" s="128">
        <v>0</v>
      </c>
      <c r="AA118" s="128">
        <v>1343.5668915200001</v>
      </c>
      <c r="AB118" s="127">
        <v>0</v>
      </c>
      <c r="AC118" s="127">
        <v>0.7</v>
      </c>
      <c r="AD118" s="160">
        <v>940.49682406400007</v>
      </c>
      <c r="AE118" s="164">
        <v>11542</v>
      </c>
      <c r="AF118" s="129">
        <v>11542</v>
      </c>
      <c r="AG118" s="129">
        <v>10855214.343346689</v>
      </c>
      <c r="AH118" s="165">
        <v>10855214.343346689</v>
      </c>
    </row>
    <row r="119" spans="2:34" hidden="1" x14ac:dyDescent="0.35">
      <c r="B119" s="180" t="s">
        <v>43</v>
      </c>
      <c r="C119" s="138" t="s">
        <v>194</v>
      </c>
      <c r="D119" s="22" t="s">
        <v>43</v>
      </c>
      <c r="E119" s="22" t="s">
        <v>24</v>
      </c>
      <c r="F119" s="22" t="s">
        <v>25</v>
      </c>
      <c r="G119" s="22" t="s">
        <v>335</v>
      </c>
      <c r="H119" s="22" t="s">
        <v>336</v>
      </c>
      <c r="I119" s="22" t="s">
        <v>28</v>
      </c>
      <c r="J119" s="125">
        <v>2759.3686969999999</v>
      </c>
      <c r="K119" s="125">
        <v>2359.5433289999996</v>
      </c>
      <c r="L119" s="125">
        <v>1746.2513310000002</v>
      </c>
      <c r="M119" s="125">
        <v>1543.3920830000002</v>
      </c>
      <c r="N119" s="125">
        <v>1362.6550340000003</v>
      </c>
      <c r="O119" s="125">
        <v>7.0625235989999897</v>
      </c>
      <c r="P119" s="126">
        <v>43101</v>
      </c>
      <c r="Q119" s="22" t="s">
        <v>337</v>
      </c>
      <c r="R119" s="22" t="s">
        <v>41</v>
      </c>
      <c r="S119" s="22" t="s">
        <v>57</v>
      </c>
      <c r="T119" s="22" t="s">
        <v>47</v>
      </c>
      <c r="U119" s="128">
        <v>16664.330443925493</v>
      </c>
      <c r="V119" s="128">
        <v>12332.941234972643</v>
      </c>
      <c r="W119" s="128">
        <v>10900.243008697253</v>
      </c>
      <c r="X119" s="127">
        <v>0.3</v>
      </c>
      <c r="Y119" s="127">
        <v>0.3</v>
      </c>
      <c r="Z119" s="128">
        <v>4999.2991331776475</v>
      </c>
      <c r="AA119" s="128">
        <v>3699.8823704917927</v>
      </c>
      <c r="AB119" s="127">
        <v>0.65</v>
      </c>
      <c r="AC119" s="127">
        <v>0.35</v>
      </c>
      <c r="AD119" s="160">
        <v>4544.5032662375988</v>
      </c>
      <c r="AE119" s="164">
        <v>11542</v>
      </c>
      <c r="AF119" s="129">
        <v>11542</v>
      </c>
      <c r="AG119" s="129">
        <v>52452656.698914364</v>
      </c>
      <c r="AH119" s="165">
        <v>52452656.698914364</v>
      </c>
    </row>
    <row r="120" spans="2:34" ht="15" hidden="1" thickBot="1" x14ac:dyDescent="0.4">
      <c r="B120" s="181" t="s">
        <v>43</v>
      </c>
      <c r="C120" s="139" t="s">
        <v>194</v>
      </c>
      <c r="D120" s="132" t="s">
        <v>43</v>
      </c>
      <c r="E120" s="132" t="s">
        <v>44</v>
      </c>
      <c r="F120" s="132" t="s">
        <v>25</v>
      </c>
      <c r="G120" s="132" t="s">
        <v>338</v>
      </c>
      <c r="H120" s="132" t="s">
        <v>336</v>
      </c>
      <c r="I120" s="132" t="s">
        <v>28</v>
      </c>
      <c r="J120" s="133">
        <v>2224.3862830000003</v>
      </c>
      <c r="K120" s="133">
        <v>1303.77145</v>
      </c>
      <c r="L120" s="133">
        <v>866.74953699999992</v>
      </c>
      <c r="M120" s="133">
        <v>664.87926699999991</v>
      </c>
      <c r="N120" s="133">
        <v>556.411564</v>
      </c>
      <c r="O120" s="133">
        <v>7.1794582419999999</v>
      </c>
      <c r="P120" s="134">
        <v>43101</v>
      </c>
      <c r="Q120" s="132" t="s">
        <v>337</v>
      </c>
      <c r="R120" s="132" t="s">
        <v>41</v>
      </c>
      <c r="S120" s="132" t="s">
        <v>57</v>
      </c>
      <c r="T120" s="132" t="s">
        <v>47</v>
      </c>
      <c r="U120" s="136">
        <v>9360.372682386791</v>
      </c>
      <c r="V120" s="136">
        <v>6222.7921071643332</v>
      </c>
      <c r="W120" s="136">
        <v>4773.4729333980677</v>
      </c>
      <c r="X120" s="135">
        <v>0.3</v>
      </c>
      <c r="Y120" s="135">
        <v>0.3</v>
      </c>
      <c r="Z120" s="136">
        <v>2808.1118047160371</v>
      </c>
      <c r="AA120" s="136">
        <v>1866.8376321492999</v>
      </c>
      <c r="AB120" s="135">
        <v>0.65</v>
      </c>
      <c r="AC120" s="135">
        <v>0.35</v>
      </c>
      <c r="AD120" s="161">
        <v>2478.6658443176793</v>
      </c>
      <c r="AE120" s="166">
        <v>11542</v>
      </c>
      <c r="AF120" s="137">
        <v>11542</v>
      </c>
      <c r="AG120" s="137">
        <v>28608761.175114654</v>
      </c>
      <c r="AH120" s="167">
        <v>28608761.175114654</v>
      </c>
    </row>
  </sheetData>
  <autoFilter ref="B5:H120" xr:uid="{900871DD-20A4-4213-96F6-9B3FDD5915BB}">
    <filterColumn colId="1">
      <filters>
        <filter val="RCC"/>
      </filters>
    </filterColumn>
  </autoFilter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83DC-A1F2-4808-9FA3-1037931A7CA3}">
  <sheetPr>
    <tabColor theme="5" tint="0.39997558519241921"/>
  </sheetPr>
  <dimension ref="B1:X61"/>
  <sheetViews>
    <sheetView zoomScale="90" zoomScaleNormal="90" workbookViewId="0">
      <selection activeCell="A15" sqref="A15"/>
    </sheetView>
  </sheetViews>
  <sheetFormatPr defaultRowHeight="14.5" x14ac:dyDescent="0.35"/>
  <cols>
    <col min="1" max="1" width="8.7265625" style="4"/>
    <col min="2" max="2" width="17.1796875" style="4" bestFit="1" customWidth="1"/>
    <col min="3" max="3" width="48.1796875" style="4" customWidth="1"/>
    <col min="4" max="4" width="16.6328125" style="4" customWidth="1"/>
    <col min="5" max="5" width="17.08984375" style="4" customWidth="1"/>
    <col min="6" max="15" width="12.6328125" style="4" customWidth="1"/>
    <col min="16" max="16" width="21.453125" style="4" customWidth="1"/>
    <col min="17" max="17" width="19.36328125" style="4" customWidth="1"/>
    <col min="18" max="18" width="16.453125" style="4" customWidth="1"/>
    <col min="19" max="19" width="15.54296875" style="4" customWidth="1"/>
    <col min="20" max="21" width="14.7265625" style="4" customWidth="1"/>
    <col min="22" max="22" width="26.90625" style="4" customWidth="1"/>
    <col min="23" max="23" width="23.1796875" style="4" customWidth="1"/>
    <col min="24" max="24" width="13.54296875" style="4" customWidth="1"/>
    <col min="25" max="16384" width="8.7265625" style="4"/>
  </cols>
  <sheetData>
    <row r="1" spans="2:24" ht="15.5" x14ac:dyDescent="0.35">
      <c r="B1" s="834" t="s">
        <v>921</v>
      </c>
    </row>
    <row r="2" spans="2:24" x14ac:dyDescent="0.35">
      <c r="B2" s="764" t="s">
        <v>922</v>
      </c>
    </row>
    <row r="3" spans="2:24" x14ac:dyDescent="0.35">
      <c r="B3" s="764" t="s">
        <v>923</v>
      </c>
    </row>
    <row r="4" spans="2:24" ht="15" thickBot="1" x14ac:dyDescent="0.4"/>
    <row r="5" spans="2:24" ht="47.5" customHeight="1" thickBot="1" x14ac:dyDescent="0.4">
      <c r="F5" s="1030" t="s">
        <v>391</v>
      </c>
      <c r="G5" s="1031"/>
      <c r="H5" s="1031"/>
      <c r="I5" s="1031"/>
      <c r="J5" s="1032"/>
      <c r="K5" s="1033" t="s">
        <v>392</v>
      </c>
      <c r="L5" s="1034"/>
      <c r="M5" s="1034"/>
      <c r="N5" s="1034"/>
      <c r="O5" s="1035"/>
      <c r="R5" s="1037" t="s">
        <v>489</v>
      </c>
      <c r="S5" s="1038"/>
      <c r="T5" s="1036" t="s">
        <v>489</v>
      </c>
      <c r="U5" s="1035"/>
    </row>
    <row r="6" spans="2:24" ht="15" customHeight="1" thickBot="1" x14ac:dyDescent="0.4">
      <c r="B6" s="221" t="s">
        <v>355</v>
      </c>
      <c r="C6" s="222" t="s">
        <v>5</v>
      </c>
      <c r="D6" s="223" t="s">
        <v>10</v>
      </c>
      <c r="E6" s="223" t="s">
        <v>472</v>
      </c>
      <c r="F6" s="221">
        <v>2023</v>
      </c>
      <c r="G6" s="217">
        <v>2024</v>
      </c>
      <c r="H6" s="217">
        <v>2025</v>
      </c>
      <c r="I6" s="217">
        <v>2026</v>
      </c>
      <c r="J6" s="224">
        <v>2027</v>
      </c>
      <c r="K6" s="225">
        <v>2023</v>
      </c>
      <c r="L6" s="217">
        <v>2024</v>
      </c>
      <c r="M6" s="217">
        <v>2025</v>
      </c>
      <c r="N6" s="217">
        <v>2026</v>
      </c>
      <c r="O6" s="222">
        <v>2027</v>
      </c>
      <c r="P6" s="249" t="s">
        <v>925</v>
      </c>
      <c r="Q6" s="250" t="s">
        <v>926</v>
      </c>
      <c r="R6" s="221">
        <v>2024</v>
      </c>
      <c r="S6" s="224">
        <v>2025</v>
      </c>
      <c r="T6" s="221">
        <v>2024</v>
      </c>
      <c r="U6" s="224">
        <v>2025</v>
      </c>
      <c r="V6" s="670" t="s">
        <v>487</v>
      </c>
      <c r="W6" s="250" t="s">
        <v>488</v>
      </c>
    </row>
    <row r="7" spans="2:24" x14ac:dyDescent="0.35">
      <c r="B7" s="190" t="s">
        <v>43</v>
      </c>
      <c r="C7" s="191" t="s">
        <v>27</v>
      </c>
      <c r="D7" s="205" t="str">
        <f>IF(AND($E7&gt;='Launch flag &amp; Life-Cycle Factor'!$F$24, $E7&lt;='Launch flag &amp; Life-Cycle Factor'!$E$24),'Launch flag &amp; Life-Cycle Factor'!$B$24, IF(AND($E7&gt;='Launch flag &amp; Life-Cycle Factor'!$F$23, $E7&lt;='Launch flag &amp; Life-Cycle Factor'!$E$23),'Launch flag &amp; Life-Cycle Factor'!$B$23, IF(AND($E7&gt;='Launch flag &amp; Life-Cycle Factor'!$F$22, $E7&lt;='Launch flag &amp; Life-Cycle Factor'!$E$22),'Launch flag &amp; Life-Cycle Factor'!$B$22, IF(AND($E7&gt;='Launch flag &amp; Life-Cycle Factor'!$F$21, $E7&lt;='Launch flag &amp; Life-Cycle Factor'!$E$21),'Launch flag &amp; Life-Cycle Factor'!$B$21, IF(AND($E7&gt;='Launch flag &amp; Life-Cycle Factor'!$F$20, $E7&lt;='Launch flag &amp; Life-Cycle Factor'!$E$20),'Launch flag &amp; Life-Cycle Factor'!$B$20, IF(AND($E7&gt;='Launch flag &amp; Life-Cycle Factor'!$F$19, $E7&lt;='Launch flag &amp; Life-Cycle Factor'!$E$19),'Launch flag &amp; Life-Cycle Factor'!$B$19, IF(AND($E7&gt;='Launch flag &amp; Life-Cycle Factor'!$F$18, $E7&lt;='Launch flag &amp; Life-Cycle Factor'!$E$18),'Launch flag &amp; Life-Cycle Factor'!$B$18, IF(AND($E7&gt;='Launch flag &amp; Life-Cycle Factor'!$F$17, $E7&lt;='Launch flag &amp; Life-Cycle Factor'!$E$17),'Launch flag &amp; Life-Cycle Factor'!$B$17, IF(AND($E7&gt;='Launch flag &amp; Life-Cycle Factor'!$F$16, $E7&lt;='Launch flag &amp; Life-Cycle Factor'!$E$16),'Launch flag &amp; Life-Cycle Factor'!$B$16,IF(AND($E7&gt;='Launch flag &amp; Life-Cycle Factor'!$F$15, $E7&lt;='Launch flag &amp; Life-Cycle Factor'!$E$15),'Launch flag &amp; Life-Cycle Factor'!$B$15, IF(AND($E7&gt;='Launch flag &amp; Life-Cycle Factor'!$F$14, $E7&lt;='Launch flag &amp; Life-Cycle Factor'!$E$14),'Launch flag &amp; Life-Cycle Factor'!$B$14,IF(AND($E7&gt;='Launch flag &amp; Life-Cycle Factor'!$F$13, $E7&lt;='Launch flag &amp; Life-Cycle Factor'!$E$13),'Launch flag &amp; Life-Cycle Factor'!$B$13, IF(AND($E7&gt;='Launch flag &amp; Life-Cycle Factor'!$F$12, $E7&lt;='Launch flag &amp; Life-Cycle Factor'!$E$12),'Launch flag &amp; Life-Cycle Factor'!$B$12, IF(AND($E7&gt;='Launch flag &amp; Life-Cycle Factor'!$F$11, $E7&lt;='Launch flag &amp; Life-Cycle Factor'!$E$11),'Launch flag &amp; Life-Cycle Factor'!$B$11, IF(AND($E7&gt;='Launch flag &amp; Life-Cycle Factor'!$F$10, $E7&lt;='Launch flag &amp; Life-Cycle Factor'!$E$10),'Launch flag &amp; Life-Cycle Factor'!$B$10, IF(AND($E7&gt;='Launch flag &amp; Life-Cycle Factor'!$F$9, $E7&lt;='Launch flag &amp; Life-Cycle Factor'!$E$9),'Launch flag &amp; Life-Cycle Factor'!$B$9, IF(AND($E7&gt;='Launch flag &amp; Life-Cycle Factor'!$F$8, $E7&lt;='Launch flag &amp; Life-Cycle Factor'!$E$8),'Launch flag &amp; Life-Cycle Factor'!$B$8, IF(AND($E7&gt;='Launch flag &amp; Life-Cycle Factor'!$F$7, $E7&lt;='Launch flag &amp; Life-Cycle Factor'!$E$7),'Launch flag &amp; Life-Cycle Factor'!$B$7, IF(AND($E7&gt;='Launch flag &amp; Life-Cycle Factor'!$F$6, $E7&lt;='Launch flag &amp; Life-Cycle Factor'!$E$6),'Launch flag &amp; Life-Cycle Factor'!$B$6, "-")))))))))))))))))))</f>
        <v>Planning Year</v>
      </c>
      <c r="E7" s="218">
        <f>INDEX('NPS with launch Dates '!$J$6:$J$59,MATCH('2.  Sales Data Key &amp; Key-Lyn'!$C7,'NPS with launch Dates '!$I$6:$I$59,0))</f>
        <v>45324</v>
      </c>
      <c r="F7" s="194">
        <f>INDEX('Raw Sales Forecasting Data'!$D$11:$H$126,MATCH('2.  Sales Data Key &amp; Key-Lyn'!$C7,'Raw Sales Forecasting Data'!$C$11:$C$126,0),MATCH('2.  Sales Data Key &amp; Key-Lyn'!F$6,'Raw Sales Forecasting Data'!$D$10:$H$10,0))</f>
        <v>0</v>
      </c>
      <c r="G7" s="195">
        <f>INDEX('Raw Sales Forecasting Data'!$D$11:$H$126,MATCH('2.  Sales Data Key &amp; Key-Lyn'!$C7,'Raw Sales Forecasting Data'!$C$11:$C$126,0),MATCH('2.  Sales Data Key &amp; Key-Lyn'!G$6,'Raw Sales Forecasting Data'!$D$10:$H$10,0))</f>
        <v>34.139266404517784</v>
      </c>
      <c r="H7" s="195">
        <f>INDEX('Raw Sales Forecasting Data'!$D$11:$H$126,MATCH('2.  Sales Data Key &amp; Key-Lyn'!$C7,'Raw Sales Forecasting Data'!$C$11:$C$126,0),MATCH('2.  Sales Data Key &amp; Key-Lyn'!H$6,'Raw Sales Forecasting Data'!$D$10:$H$10,0))</f>
        <v>122.42817257895993</v>
      </c>
      <c r="I7" s="195">
        <f>INDEX('Raw Sales Forecasting Data'!$D$11:$H$126,MATCH('2.  Sales Data Key &amp; Key-Lyn'!$C7,'Raw Sales Forecasting Data'!$C$11:$C$126,0),MATCH('2.  Sales Data Key &amp; Key-Lyn'!I$6,'Raw Sales Forecasting Data'!$D$10:$H$10,0))</f>
        <v>154.19943278934394</v>
      </c>
      <c r="J7" s="196">
        <f>INDEX('Raw Sales Forecasting Data'!$D$11:$H$126,MATCH('2.  Sales Data Key &amp; Key-Lyn'!$C7,'Raw Sales Forecasting Data'!$C$11:$C$126,0),MATCH('2.  Sales Data Key &amp; Key-Lyn'!J$6,'Raw Sales Forecasting Data'!$D$10:$H$10,0))</f>
        <v>166.04725610762884</v>
      </c>
      <c r="K7" s="194">
        <f>INDEX('Raw Sales Forecasting Data'!$J$11:$N$126,MATCH('2.  Sales Data Key &amp; Key-Lyn'!$C7,'Raw Sales Forecasting Data'!$C$11:$C$126,0),MATCH('2.  Sales Data Key &amp; Key-Lyn'!K$6,'Raw Sales Forecasting Data'!$J$10:$N$10,0))</f>
        <v>0</v>
      </c>
      <c r="L7" s="195">
        <f>INDEX('Raw Sales Forecasting Data'!$J$11:$N$126,MATCH('2.  Sales Data Key &amp; Key-Lyn'!$C7,'Raw Sales Forecasting Data'!$C$11:$C$126,0),MATCH('2.  Sales Data Key &amp; Key-Lyn'!L$6,'Raw Sales Forecasting Data'!$J$10:$N$10,0))</f>
        <v>34.139266404517784</v>
      </c>
      <c r="M7" s="195">
        <f>INDEX('Raw Sales Forecasting Data'!$J$11:$N$126,MATCH('2.  Sales Data Key &amp; Key-Lyn'!$C7,'Raw Sales Forecasting Data'!$C$11:$C$126,0),MATCH('2.  Sales Data Key &amp; Key-Lyn'!M$6,'Raw Sales Forecasting Data'!$J$10:$N$10,0))</f>
        <v>122.42817257895993</v>
      </c>
      <c r="N7" s="195">
        <f>INDEX('Raw Sales Forecasting Data'!$J$11:$N$126,MATCH('2.  Sales Data Key &amp; Key-Lyn'!$C7,'Raw Sales Forecasting Data'!$C$11:$C$126,0),MATCH('2.  Sales Data Key &amp; Key-Lyn'!N$6,'Raw Sales Forecasting Data'!$J$10:$N$10,0))</f>
        <v>154.19943278934394</v>
      </c>
      <c r="O7" s="237">
        <f>INDEX('Raw Sales Forecasting Data'!$J$11:$N$126,MATCH('2.  Sales Data Key &amp; Key-Lyn'!$C7,'Raw Sales Forecasting Data'!$C$11:$C$126,0),MATCH('2.  Sales Data Key &amp; Key-Lyn'!O$6,'Raw Sales Forecasting Data'!$J$10:$N$10,0))</f>
        <v>166.04725610762884</v>
      </c>
      <c r="P7" s="246">
        <f>IF(AND($E7&gt;='Launch flag &amp; Life-Cycle Factor'!$F$24, $E7&lt;='Launch flag &amp; Life-Cycle Factor'!$E$24),'Launch flag &amp; Life-Cycle Factor'!$H$24, IF(AND($E7&gt;='Launch flag &amp; Life-Cycle Factor'!$F$23, $E7&lt;='Launch flag &amp; Life-Cycle Factor'!$E$23),'Launch flag &amp; Life-Cycle Factor'!$H$23, IF(AND($E7&gt;='Launch flag &amp; Life-Cycle Factor'!$F$22, $E7&lt;='Launch flag &amp; Life-Cycle Factor'!$E$22),'Launch flag &amp; Life-Cycle Factor'!$H$22, IF(AND($E7&gt;='Launch flag &amp; Life-Cycle Factor'!$F$21, $E7&lt;='Launch flag &amp; Life-Cycle Factor'!$E$21),'Launch flag &amp; Life-Cycle Factor'!$H$21, IF(AND($E7&gt;='Launch flag &amp; Life-Cycle Factor'!$F$20, $E7&lt;='Launch flag &amp; Life-Cycle Factor'!$E$20),'Launch flag &amp; Life-Cycle Factor'!$H$20, IF(AND($E7&gt;='Launch flag &amp; Life-Cycle Factor'!$F$19, $E7&lt;='Launch flag &amp; Life-Cycle Factor'!$E$19),'Launch flag &amp; Life-Cycle Factor'!$H$19, IF(AND($E7&gt;='Launch flag &amp; Life-Cycle Factor'!$F$18, $E7&lt;='Launch flag &amp; Life-Cycle Factor'!$E$18),'Launch flag &amp; Life-Cycle Factor'!$H$18, IF(AND($E7&gt;='Launch flag &amp; Life-Cycle Factor'!$F$17, $E7&lt;='Launch flag &amp; Life-Cycle Factor'!$E$17),'Launch flag &amp; Life-Cycle Factor'!$H$17, IF(AND($E7&gt;='Launch flag &amp; Life-Cycle Factor'!$F$16, $E7&lt;='Launch flag &amp; Life-Cycle Factor'!$E$16),'Launch flag &amp; Life-Cycle Factor'!$H$16,IF(AND($E7&gt;='Launch flag &amp; Life-Cycle Factor'!$F$15, $E7&lt;='Launch flag &amp; Life-Cycle Factor'!$E$15),'Launch flag &amp; Life-Cycle Factor'!$H$15, IF(AND($E7&gt;='Launch flag &amp; Life-Cycle Factor'!$F$14, $E7&lt;='Launch flag &amp; Life-Cycle Factor'!$E$14),'Launch flag &amp; Life-Cycle Factor'!$H$14,IF(AND($E7&gt;='Launch flag &amp; Life-Cycle Factor'!$F$13, $E7&lt;='Launch flag &amp; Life-Cycle Factor'!$E$13),'Launch flag &amp; Life-Cycle Factor'!$H$13, IF(AND($E7&gt;='Launch flag &amp; Life-Cycle Factor'!$F$12, $E7&lt;='Launch flag &amp; Life-Cycle Factor'!$E$12),'Launch flag &amp; Life-Cycle Factor'!$H$12, IF(AND($E7&gt;='Launch flag &amp; Life-Cycle Factor'!$F$11, $E7&lt;='Launch flag &amp; Life-Cycle Factor'!$E$11),'Launch flag &amp; Life-Cycle Factor'!$H$11, IF(AND($E7&gt;='Launch flag &amp; Life-Cycle Factor'!$F$10, $E7&lt;='Launch flag &amp; Life-Cycle Factor'!$E$10),'Launch flag &amp; Life-Cycle Factor'!$H$10, IF(AND($E7&gt;='Launch flag &amp; Life-Cycle Factor'!$F$9, $E7&lt;='Launch flag &amp; Life-Cycle Factor'!$E$9),'Launch flag &amp; Life-Cycle Factor'!$H$9, IF(AND($E7&gt;='Launch flag &amp; Life-Cycle Factor'!$F$8, $E7&lt;='Launch flag &amp; Life-Cycle Factor'!$E$8),'Launch flag &amp; Life-Cycle Factor'!$H$8, IF(AND($E7&gt;='Launch flag &amp; Life-Cycle Factor'!$F$7, $E7&lt;='Launch flag &amp; Life-Cycle Factor'!$E$7),'Launch flag &amp; Life-Cycle Factor'!$H$7, IF(AND($E7&gt;='Launch flag &amp; Life-Cycle Factor'!$F$6, $E7&lt;='Launch flag &amp; Life-Cycle Factor'!$E$6),'Launch flag &amp; Life-Cycle Factor'!$H$6, "-")))))))))))))))))))</f>
        <v>0.55000000000000004</v>
      </c>
      <c r="Q7" s="654">
        <f>IF(AND($E7&gt;='Launch flag &amp; Life-Cycle Factor'!$F$24, $E7&lt;='Launch flag &amp; Life-Cycle Factor'!$E$24),'Launch flag &amp; Life-Cycle Factor'!$I$24, IF(AND($E7&gt;='Launch flag &amp; Life-Cycle Factor'!$F$23, $E7&lt;='Launch flag &amp; Life-Cycle Factor'!$E$23),'Launch flag &amp; Life-Cycle Factor'!$I$23, IF(AND($E7&gt;='Launch flag &amp; Life-Cycle Factor'!$F$22, $E7&lt;='Launch flag &amp; Life-Cycle Factor'!$E$22),'Launch flag &amp; Life-Cycle Factor'!$I$22, IF(AND($E7&gt;='Launch flag &amp; Life-Cycle Factor'!$F$21, $E7&lt;='Launch flag &amp; Life-Cycle Factor'!$E$21),'Launch flag &amp; Life-Cycle Factor'!$I$21, IF(AND($E7&gt;='Launch flag &amp; Life-Cycle Factor'!$F$20, $E7&lt;='Launch flag &amp; Life-Cycle Factor'!$E$20),'Launch flag &amp; Life-Cycle Factor'!$I$20, IF(AND($E7&gt;='Launch flag &amp; Life-Cycle Factor'!$F$19, $E7&lt;='Launch flag &amp; Life-Cycle Factor'!$E$19),'Launch flag &amp; Life-Cycle Factor'!$I$19, IF(AND($E7&gt;='Launch flag &amp; Life-Cycle Factor'!$F$18, $E7&lt;='Launch flag &amp; Life-Cycle Factor'!$E$18),'Launch flag &amp; Life-Cycle Factor'!$I$18, IF(AND($E7&gt;='Launch flag &amp; Life-Cycle Factor'!$F$17, $E7&lt;='Launch flag &amp; Life-Cycle Factor'!$E$17),'Launch flag &amp; Life-Cycle Factor'!$I$17, IF(AND($E7&gt;='Launch flag &amp; Life-Cycle Factor'!$F$16, $E7&lt;='Launch flag &amp; Life-Cycle Factor'!$E$16),'Launch flag &amp; Life-Cycle Factor'!$I$16,IF(AND($E7&gt;='Launch flag &amp; Life-Cycle Factor'!$F$15, $E7&lt;='Launch flag &amp; Life-Cycle Factor'!$E$15),'Launch flag &amp; Life-Cycle Factor'!$I$15, IF(AND($E7&gt;='Launch flag &amp; Life-Cycle Factor'!$F$14, $E7&lt;='Launch flag &amp; Life-Cycle Factor'!$E$14),'Launch flag &amp; Life-Cycle Factor'!$I$14,IF(AND($E7&gt;='Launch flag &amp; Life-Cycle Factor'!$F$13, $E7&lt;='Launch flag &amp; Life-Cycle Factor'!$E$13),'Launch flag &amp; Life-Cycle Factor'!$I$13, IF(AND($E7&gt;='Launch flag &amp; Life-Cycle Factor'!$F$12, $E7&lt;='Launch flag &amp; Life-Cycle Factor'!$E$12),'Launch flag &amp; Life-Cycle Factor'!$I$12, IF(AND($E7&gt;='Launch flag &amp; Life-Cycle Factor'!$F$11, $E7&lt;='Launch flag &amp; Life-Cycle Factor'!$E$11),'Launch flag &amp; Life-Cycle Factor'!$I$11, IF(AND($E7&gt;='Launch flag &amp; Life-Cycle Factor'!$F$10, $E7&lt;='Launch flag &amp; Life-Cycle Factor'!$E$10),'Launch flag &amp; Life-Cycle Factor'!$I$10, IF(AND($E7&gt;='Launch flag &amp; Life-Cycle Factor'!$F$9, $E7&lt;='Launch flag &amp; Life-Cycle Factor'!$E$9),'Launch flag &amp; Life-Cycle Factor'!$I$9, IF(AND($E7&gt;='Launch flag &amp; Life-Cycle Factor'!$F$8, $E7&lt;='Launch flag &amp; Life-Cycle Factor'!$E$8),'Launch flag &amp; Life-Cycle Factor'!$I$8, IF(AND($E7&gt;='Launch flag &amp; Life-Cycle Factor'!$F$7, $E7&lt;='Launch flag &amp; Life-Cycle Factor'!$E$7),'Launch flag &amp; Life-Cycle Factor'!$I$7, IF(AND($E7&gt;='Launch flag &amp; Life-Cycle Factor'!$F$6, $E7&lt;='Launch flag &amp; Life-Cycle Factor'!$E$6),'Launch flag &amp; Life-Cycle Factor'!$I$6, "-")))))))))))))))))))</f>
        <v>0.45</v>
      </c>
      <c r="R7" s="660">
        <f>IFERROR(G7*P7,"-")</f>
        <v>18.776596522484784</v>
      </c>
      <c r="S7" s="661">
        <f>IFERROR(H7*Q7,"-")</f>
        <v>55.092677660531969</v>
      </c>
      <c r="T7" s="247">
        <f>IFERROR(L7*$P7,"-")</f>
        <v>18.776596522484784</v>
      </c>
      <c r="U7" s="248">
        <f>IFERROR(M7*$Q7,"-")</f>
        <v>55.092677660531969</v>
      </c>
      <c r="V7" s="835">
        <f>IFERROR(R7+S7,"-")</f>
        <v>73.869274183016756</v>
      </c>
      <c r="W7" s="836">
        <f>IFERROR(T7+U7,"-")</f>
        <v>73.869274183016756</v>
      </c>
      <c r="X7" s="672"/>
    </row>
    <row r="8" spans="2:24" x14ac:dyDescent="0.35">
      <c r="B8" s="186" t="s">
        <v>43</v>
      </c>
      <c r="C8" s="192" t="s">
        <v>344</v>
      </c>
      <c r="D8" s="206" t="str">
        <f>IF(AND($E8&gt;='Launch flag &amp; Life-Cycle Factor'!$F$24, $E8&lt;='Launch flag &amp; Life-Cycle Factor'!$E$24),'Launch flag &amp; Life-Cycle Factor'!$B$24, IF(AND($E8&gt;='Launch flag &amp; Life-Cycle Factor'!$F$23, $E8&lt;='Launch flag &amp; Life-Cycle Factor'!$E$23),'Launch flag &amp; Life-Cycle Factor'!$B$23, IF(AND($E8&gt;='Launch flag &amp; Life-Cycle Factor'!$F$22, $E8&lt;='Launch flag &amp; Life-Cycle Factor'!$E$22),'Launch flag &amp; Life-Cycle Factor'!$B$22, IF(AND($E8&gt;='Launch flag &amp; Life-Cycle Factor'!$F$21, $E8&lt;='Launch flag &amp; Life-Cycle Factor'!$E$21),'Launch flag &amp; Life-Cycle Factor'!$B$21, IF(AND($E8&gt;='Launch flag &amp; Life-Cycle Factor'!$F$20, $E8&lt;='Launch flag &amp; Life-Cycle Factor'!$E$20),'Launch flag &amp; Life-Cycle Factor'!$B$20, IF(AND($E8&gt;='Launch flag &amp; Life-Cycle Factor'!$F$19, $E8&lt;='Launch flag &amp; Life-Cycle Factor'!$E$19),'Launch flag &amp; Life-Cycle Factor'!$B$19, IF(AND($E8&gt;='Launch flag &amp; Life-Cycle Factor'!$F$18, $E8&lt;='Launch flag &amp; Life-Cycle Factor'!$E$18),'Launch flag &amp; Life-Cycle Factor'!$B$18, IF(AND($E8&gt;='Launch flag &amp; Life-Cycle Factor'!$F$17, $E8&lt;='Launch flag &amp; Life-Cycle Factor'!$E$17),'Launch flag &amp; Life-Cycle Factor'!$B$17, IF(AND($E8&gt;='Launch flag &amp; Life-Cycle Factor'!$F$16, $E8&lt;='Launch flag &amp; Life-Cycle Factor'!$E$16),'Launch flag &amp; Life-Cycle Factor'!$B$16,IF(AND($E8&gt;='Launch flag &amp; Life-Cycle Factor'!$F$15, $E8&lt;='Launch flag &amp; Life-Cycle Factor'!$E$15),'Launch flag &amp; Life-Cycle Factor'!$B$15, IF(AND($E8&gt;='Launch flag &amp; Life-Cycle Factor'!$F$14, $E8&lt;='Launch flag &amp; Life-Cycle Factor'!$E$14),'Launch flag &amp; Life-Cycle Factor'!$B$14,IF(AND($E8&gt;='Launch flag &amp; Life-Cycle Factor'!$F$13, $E8&lt;='Launch flag &amp; Life-Cycle Factor'!$E$13),'Launch flag &amp; Life-Cycle Factor'!$B$13, IF(AND($E8&gt;='Launch flag &amp; Life-Cycle Factor'!$F$12, $E8&lt;='Launch flag &amp; Life-Cycle Factor'!$E$12),'Launch flag &amp; Life-Cycle Factor'!$B$12, IF(AND($E8&gt;='Launch flag &amp; Life-Cycle Factor'!$F$11, $E8&lt;='Launch flag &amp; Life-Cycle Factor'!$E$11),'Launch flag &amp; Life-Cycle Factor'!$B$11, IF(AND($E8&gt;='Launch flag &amp; Life-Cycle Factor'!$F$10, $E8&lt;='Launch flag &amp; Life-Cycle Factor'!$E$10),'Launch flag &amp; Life-Cycle Factor'!$B$10, IF(AND($E8&gt;='Launch flag &amp; Life-Cycle Factor'!$F$9, $E8&lt;='Launch flag &amp; Life-Cycle Factor'!$E$9),'Launch flag &amp; Life-Cycle Factor'!$B$9, IF(AND($E8&gt;='Launch flag &amp; Life-Cycle Factor'!$F$8, $E8&lt;='Launch flag &amp; Life-Cycle Factor'!$E$8),'Launch flag &amp; Life-Cycle Factor'!$B$8, IF(AND($E8&gt;='Launch flag &amp; Life-Cycle Factor'!$F$7, $E8&lt;='Launch flag &amp; Life-Cycle Factor'!$E$7),'Launch flag &amp; Life-Cycle Factor'!$B$7, IF(AND($E8&gt;='Launch flag &amp; Life-Cycle Factor'!$F$6, $E8&lt;='Launch flag &amp; Life-Cycle Factor'!$E$6),'Launch flag &amp; Life-Cycle Factor'!$B$6, "-")))))))))))))))))))</f>
        <v>Planning Year</v>
      </c>
      <c r="E8" s="219">
        <f>INDEX('NPS with launch Dates '!$J$6:$J$59,MATCH('2.  Sales Data Key &amp; Key-Lyn'!$C8,'NPS with launch Dates '!$I$6:$I$59,0))</f>
        <v>45324</v>
      </c>
      <c r="F8" s="197">
        <f>INDEX('Raw Sales Forecasting Data'!$D$11:$H$126,MATCH('2.  Sales Data Key &amp; Key-Lyn'!$C8,'Raw Sales Forecasting Data'!$C$11:$C$126,0),MATCH('2.  Sales Data Key &amp; Key-Lyn'!F$6,'Raw Sales Forecasting Data'!$D$10:$H$10,0))</f>
        <v>0</v>
      </c>
      <c r="G8" s="198">
        <f>INDEX('Raw Sales Forecasting Data'!$D$11:$H$126,MATCH('2.  Sales Data Key &amp; Key-Lyn'!$C8,'Raw Sales Forecasting Data'!$C$11:$C$126,0),MATCH('2.  Sales Data Key &amp; Key-Lyn'!G$6,'Raw Sales Forecasting Data'!$D$10:$H$10,0))</f>
        <v>43.516553884311925</v>
      </c>
      <c r="H8" s="198">
        <f>INDEX('Raw Sales Forecasting Data'!$D$11:$H$126,MATCH('2.  Sales Data Key &amp; Key-Lyn'!$C8,'Raw Sales Forecasting Data'!$C$11:$C$126,0),MATCH('2.  Sales Data Key &amp; Key-Lyn'!H$6,'Raw Sales Forecasting Data'!$D$10:$H$10,0))</f>
        <v>171.57914796178704</v>
      </c>
      <c r="I8" s="198">
        <f>INDEX('Raw Sales Forecasting Data'!$D$11:$H$126,MATCH('2.  Sales Data Key &amp; Key-Lyn'!$C8,'Raw Sales Forecasting Data'!$C$11:$C$126,0),MATCH('2.  Sales Data Key &amp; Key-Lyn'!I$6,'Raw Sales Forecasting Data'!$D$10:$H$10,0))</f>
        <v>264.26008550548016</v>
      </c>
      <c r="J8" s="199">
        <f>INDEX('Raw Sales Forecasting Data'!$D$11:$H$126,MATCH('2.  Sales Data Key &amp; Key-Lyn'!$C8,'Raw Sales Forecasting Data'!$C$11:$C$126,0),MATCH('2.  Sales Data Key &amp; Key-Lyn'!J$6,'Raw Sales Forecasting Data'!$D$10:$H$10,0))</f>
        <v>290.619838698683</v>
      </c>
      <c r="K8" s="203">
        <f>INDEX('Raw Sales Forecasting Data'!$J$11:$N$126,MATCH('2.  Sales Data Key &amp; Key-Lyn'!$C8,'Raw Sales Forecasting Data'!$C$11:$C$126,0),MATCH('2.  Sales Data Key &amp; Key-Lyn'!K$6,'Raw Sales Forecasting Data'!$J$10:$N$10,0))</f>
        <v>0</v>
      </c>
      <c r="L8" s="198">
        <f>INDEX('Raw Sales Forecasting Data'!$J$11:$N$126,MATCH('2.  Sales Data Key &amp; Key-Lyn'!$C8,'Raw Sales Forecasting Data'!$C$11:$C$126,0),MATCH('2.  Sales Data Key &amp; Key-Lyn'!L$6,'Raw Sales Forecasting Data'!$J$10:$N$10,0))</f>
        <v>43.516553884311925</v>
      </c>
      <c r="M8" s="198">
        <f>INDEX('Raw Sales Forecasting Data'!$J$11:$N$126,MATCH('2.  Sales Data Key &amp; Key-Lyn'!$C8,'Raw Sales Forecasting Data'!$C$11:$C$126,0),MATCH('2.  Sales Data Key &amp; Key-Lyn'!M$6,'Raw Sales Forecasting Data'!$J$10:$N$10,0))</f>
        <v>171.57914796178704</v>
      </c>
      <c r="N8" s="198">
        <f>INDEX('Raw Sales Forecasting Data'!$J$11:$N$126,MATCH('2.  Sales Data Key &amp; Key-Lyn'!$C8,'Raw Sales Forecasting Data'!$C$11:$C$126,0),MATCH('2.  Sales Data Key &amp; Key-Lyn'!N$6,'Raw Sales Forecasting Data'!$J$10:$N$10,0))</f>
        <v>264.26008550548016</v>
      </c>
      <c r="O8" s="238">
        <f>INDEX('Raw Sales Forecasting Data'!$J$11:$N$126,MATCH('2.  Sales Data Key &amp; Key-Lyn'!$C8,'Raw Sales Forecasting Data'!$C$11:$C$126,0),MATCH('2.  Sales Data Key &amp; Key-Lyn'!O$6,'Raw Sales Forecasting Data'!$J$10:$N$10,0))</f>
        <v>290.619838698683</v>
      </c>
      <c r="P8" s="240">
        <f>IF(AND($E8&gt;='Launch flag &amp; Life-Cycle Factor'!$F$24, $E8&lt;='Launch flag &amp; Life-Cycle Factor'!$E$24),'Launch flag &amp; Life-Cycle Factor'!$H$24, IF(AND($E8&gt;='Launch flag &amp; Life-Cycle Factor'!$F$23, $E8&lt;='Launch flag &amp; Life-Cycle Factor'!$E$23),'Launch flag &amp; Life-Cycle Factor'!$H$23, IF(AND($E8&gt;='Launch flag &amp; Life-Cycle Factor'!$F$22, $E8&lt;='Launch flag &amp; Life-Cycle Factor'!$E$22),'Launch flag &amp; Life-Cycle Factor'!$H$22, IF(AND($E8&gt;='Launch flag &amp; Life-Cycle Factor'!$F$21, $E8&lt;='Launch flag &amp; Life-Cycle Factor'!$E$21),'Launch flag &amp; Life-Cycle Factor'!$H$21, IF(AND($E8&gt;='Launch flag &amp; Life-Cycle Factor'!$F$20, $E8&lt;='Launch flag &amp; Life-Cycle Factor'!$E$20),'Launch flag &amp; Life-Cycle Factor'!$H$20, IF(AND($E8&gt;='Launch flag &amp; Life-Cycle Factor'!$F$19, $E8&lt;='Launch flag &amp; Life-Cycle Factor'!$E$19),'Launch flag &amp; Life-Cycle Factor'!$H$19, IF(AND($E8&gt;='Launch flag &amp; Life-Cycle Factor'!$F$18, $E8&lt;='Launch flag &amp; Life-Cycle Factor'!$E$18),'Launch flag &amp; Life-Cycle Factor'!$H$18, IF(AND($E8&gt;='Launch flag &amp; Life-Cycle Factor'!$F$17, $E8&lt;='Launch flag &amp; Life-Cycle Factor'!$E$17),'Launch flag &amp; Life-Cycle Factor'!$H$17, IF(AND($E8&gt;='Launch flag &amp; Life-Cycle Factor'!$F$16, $E8&lt;='Launch flag &amp; Life-Cycle Factor'!$E$16),'Launch flag &amp; Life-Cycle Factor'!$H$16,IF(AND($E8&gt;='Launch flag &amp; Life-Cycle Factor'!$F$15, $E8&lt;='Launch flag &amp; Life-Cycle Factor'!$E$15),'Launch flag &amp; Life-Cycle Factor'!$H$15, IF(AND($E8&gt;='Launch flag &amp; Life-Cycle Factor'!$F$14, $E8&lt;='Launch flag &amp; Life-Cycle Factor'!$E$14),'Launch flag &amp; Life-Cycle Factor'!$H$14,IF(AND($E8&gt;='Launch flag &amp; Life-Cycle Factor'!$F$13, $E8&lt;='Launch flag &amp; Life-Cycle Factor'!$E$13),'Launch flag &amp; Life-Cycle Factor'!$H$13, IF(AND($E8&gt;='Launch flag &amp; Life-Cycle Factor'!$F$12, $E8&lt;='Launch flag &amp; Life-Cycle Factor'!$E$12),'Launch flag &amp; Life-Cycle Factor'!$H$12, IF(AND($E8&gt;='Launch flag &amp; Life-Cycle Factor'!$F$11, $E8&lt;='Launch flag &amp; Life-Cycle Factor'!$E$11),'Launch flag &amp; Life-Cycle Factor'!$H$11, IF(AND($E8&gt;='Launch flag &amp; Life-Cycle Factor'!$F$10, $E8&lt;='Launch flag &amp; Life-Cycle Factor'!$E$10),'Launch flag &amp; Life-Cycle Factor'!$H$10, IF(AND($E8&gt;='Launch flag &amp; Life-Cycle Factor'!$F$9, $E8&lt;='Launch flag &amp; Life-Cycle Factor'!$E$9),'Launch flag &amp; Life-Cycle Factor'!$H$9, IF(AND($E8&gt;='Launch flag &amp; Life-Cycle Factor'!$F$8, $E8&lt;='Launch flag &amp; Life-Cycle Factor'!$E$8),'Launch flag &amp; Life-Cycle Factor'!$H$8, IF(AND($E8&gt;='Launch flag &amp; Life-Cycle Factor'!$F$7, $E8&lt;='Launch flag &amp; Life-Cycle Factor'!$E$7),'Launch flag &amp; Life-Cycle Factor'!$H$7, IF(AND($E8&gt;='Launch flag &amp; Life-Cycle Factor'!$F$6, $E8&lt;='Launch flag &amp; Life-Cycle Factor'!$E$6),'Launch flag &amp; Life-Cycle Factor'!$H$6, "-")))))))))))))))))))</f>
        <v>0.55000000000000004</v>
      </c>
      <c r="Q8" s="655">
        <f>IF(AND($E8&gt;='Launch flag &amp; Life-Cycle Factor'!$F$24, $E8&lt;='Launch flag &amp; Life-Cycle Factor'!$E$24),'Launch flag &amp; Life-Cycle Factor'!$I$24, IF(AND($E8&gt;='Launch flag &amp; Life-Cycle Factor'!$F$23, $E8&lt;='Launch flag &amp; Life-Cycle Factor'!$E$23),'Launch flag &amp; Life-Cycle Factor'!$I$23, IF(AND($E8&gt;='Launch flag &amp; Life-Cycle Factor'!$F$22, $E8&lt;='Launch flag &amp; Life-Cycle Factor'!$E$22),'Launch flag &amp; Life-Cycle Factor'!$I$22, IF(AND($E8&gt;='Launch flag &amp; Life-Cycle Factor'!$F$21, $E8&lt;='Launch flag &amp; Life-Cycle Factor'!$E$21),'Launch flag &amp; Life-Cycle Factor'!$I$21, IF(AND($E8&gt;='Launch flag &amp; Life-Cycle Factor'!$F$20, $E8&lt;='Launch flag &amp; Life-Cycle Factor'!$E$20),'Launch flag &amp; Life-Cycle Factor'!$I$20, IF(AND($E8&gt;='Launch flag &amp; Life-Cycle Factor'!$F$19, $E8&lt;='Launch flag &amp; Life-Cycle Factor'!$E$19),'Launch flag &amp; Life-Cycle Factor'!$I$19, IF(AND($E8&gt;='Launch flag &amp; Life-Cycle Factor'!$F$18, $E8&lt;='Launch flag &amp; Life-Cycle Factor'!$E$18),'Launch flag &amp; Life-Cycle Factor'!$I$18, IF(AND($E8&gt;='Launch flag &amp; Life-Cycle Factor'!$F$17, $E8&lt;='Launch flag &amp; Life-Cycle Factor'!$E$17),'Launch flag &amp; Life-Cycle Factor'!$I$17, IF(AND($E8&gt;='Launch flag &amp; Life-Cycle Factor'!$F$16, $E8&lt;='Launch flag &amp; Life-Cycle Factor'!$E$16),'Launch flag &amp; Life-Cycle Factor'!$I$16,IF(AND($E8&gt;='Launch flag &amp; Life-Cycle Factor'!$F$15, $E8&lt;='Launch flag &amp; Life-Cycle Factor'!$E$15),'Launch flag &amp; Life-Cycle Factor'!$I$15, IF(AND($E8&gt;='Launch flag &amp; Life-Cycle Factor'!$F$14, $E8&lt;='Launch flag &amp; Life-Cycle Factor'!$E$14),'Launch flag &amp; Life-Cycle Factor'!$I$14,IF(AND($E8&gt;='Launch flag &amp; Life-Cycle Factor'!$F$13, $E8&lt;='Launch flag &amp; Life-Cycle Factor'!$E$13),'Launch flag &amp; Life-Cycle Factor'!$I$13, IF(AND($E8&gt;='Launch flag &amp; Life-Cycle Factor'!$F$12, $E8&lt;='Launch flag &amp; Life-Cycle Factor'!$E$12),'Launch flag &amp; Life-Cycle Factor'!$I$12, IF(AND($E8&gt;='Launch flag &amp; Life-Cycle Factor'!$F$11, $E8&lt;='Launch flag &amp; Life-Cycle Factor'!$E$11),'Launch flag &amp; Life-Cycle Factor'!$I$11, IF(AND($E8&gt;='Launch flag &amp; Life-Cycle Factor'!$F$10, $E8&lt;='Launch flag &amp; Life-Cycle Factor'!$E$10),'Launch flag &amp; Life-Cycle Factor'!$I$10, IF(AND($E8&gt;='Launch flag &amp; Life-Cycle Factor'!$F$9, $E8&lt;='Launch flag &amp; Life-Cycle Factor'!$E$9),'Launch flag &amp; Life-Cycle Factor'!$I$9, IF(AND($E8&gt;='Launch flag &amp; Life-Cycle Factor'!$F$8, $E8&lt;='Launch flag &amp; Life-Cycle Factor'!$E$8),'Launch flag &amp; Life-Cycle Factor'!$I$8, IF(AND($E8&gt;='Launch flag &amp; Life-Cycle Factor'!$F$7, $E8&lt;='Launch flag &amp; Life-Cycle Factor'!$E$7),'Launch flag &amp; Life-Cycle Factor'!$I$7, IF(AND($E8&gt;='Launch flag &amp; Life-Cycle Factor'!$F$6, $E8&lt;='Launch flag &amp; Life-Cycle Factor'!$E$6),'Launch flag &amp; Life-Cycle Factor'!$I$6, "-")))))))))))))))))))</f>
        <v>0.45</v>
      </c>
      <c r="R8" s="662">
        <f t="shared" ref="R8:R60" si="0">IFERROR(G8*P8,"-")</f>
        <v>23.934104636371561</v>
      </c>
      <c r="S8" s="663">
        <f t="shared" ref="S8:S60" si="1">IFERROR(H8*Q8,"-")</f>
        <v>77.210616582804178</v>
      </c>
      <c r="T8" s="242">
        <f t="shared" ref="T8:T60" si="2">IFERROR(L8*$P8,"-")</f>
        <v>23.934104636371561</v>
      </c>
      <c r="U8" s="243">
        <f t="shared" ref="U8:U60" si="3">IFERROR(M8*$Q8,"-")</f>
        <v>77.210616582804178</v>
      </c>
      <c r="V8" s="837">
        <f t="shared" ref="V8:V60" si="4">IFERROR(R8+S8,"-")</f>
        <v>101.14472121917574</v>
      </c>
      <c r="W8" s="838">
        <f t="shared" ref="W8:W60" si="5">IFERROR(T8+U8,"-")</f>
        <v>101.14472121917574</v>
      </c>
      <c r="X8" s="672"/>
    </row>
    <row r="9" spans="2:24" x14ac:dyDescent="0.35">
      <c r="B9" s="186" t="s">
        <v>43</v>
      </c>
      <c r="C9" s="192" t="s">
        <v>345</v>
      </c>
      <c r="D9" s="206" t="str">
        <f>IF(AND($E9&gt;='Launch flag &amp; Life-Cycle Factor'!$F$24, $E9&lt;='Launch flag &amp; Life-Cycle Factor'!$E$24),'Launch flag &amp; Life-Cycle Factor'!$B$24, IF(AND($E9&gt;='Launch flag &amp; Life-Cycle Factor'!$F$23, $E9&lt;='Launch flag &amp; Life-Cycle Factor'!$E$23),'Launch flag &amp; Life-Cycle Factor'!$B$23, IF(AND($E9&gt;='Launch flag &amp; Life-Cycle Factor'!$F$22, $E9&lt;='Launch flag &amp; Life-Cycle Factor'!$E$22),'Launch flag &amp; Life-Cycle Factor'!$B$22, IF(AND($E9&gt;='Launch flag &amp; Life-Cycle Factor'!$F$21, $E9&lt;='Launch flag &amp; Life-Cycle Factor'!$E$21),'Launch flag &amp; Life-Cycle Factor'!$B$21, IF(AND($E9&gt;='Launch flag &amp; Life-Cycle Factor'!$F$20, $E9&lt;='Launch flag &amp; Life-Cycle Factor'!$E$20),'Launch flag &amp; Life-Cycle Factor'!$B$20, IF(AND($E9&gt;='Launch flag &amp; Life-Cycle Factor'!$F$19, $E9&lt;='Launch flag &amp; Life-Cycle Factor'!$E$19),'Launch flag &amp; Life-Cycle Factor'!$B$19, IF(AND($E9&gt;='Launch flag &amp; Life-Cycle Factor'!$F$18, $E9&lt;='Launch flag &amp; Life-Cycle Factor'!$E$18),'Launch flag &amp; Life-Cycle Factor'!$B$18, IF(AND($E9&gt;='Launch flag &amp; Life-Cycle Factor'!$F$17, $E9&lt;='Launch flag &amp; Life-Cycle Factor'!$E$17),'Launch flag &amp; Life-Cycle Factor'!$B$17, IF(AND($E9&gt;='Launch flag &amp; Life-Cycle Factor'!$F$16, $E9&lt;='Launch flag &amp; Life-Cycle Factor'!$E$16),'Launch flag &amp; Life-Cycle Factor'!$B$16,IF(AND($E9&gt;='Launch flag &amp; Life-Cycle Factor'!$F$15, $E9&lt;='Launch flag &amp; Life-Cycle Factor'!$E$15),'Launch flag &amp; Life-Cycle Factor'!$B$15, IF(AND($E9&gt;='Launch flag &amp; Life-Cycle Factor'!$F$14, $E9&lt;='Launch flag &amp; Life-Cycle Factor'!$E$14),'Launch flag &amp; Life-Cycle Factor'!$B$14,IF(AND($E9&gt;='Launch flag &amp; Life-Cycle Factor'!$F$13, $E9&lt;='Launch flag &amp; Life-Cycle Factor'!$E$13),'Launch flag &amp; Life-Cycle Factor'!$B$13, IF(AND($E9&gt;='Launch flag &amp; Life-Cycle Factor'!$F$12, $E9&lt;='Launch flag &amp; Life-Cycle Factor'!$E$12),'Launch flag &amp; Life-Cycle Factor'!$B$12, IF(AND($E9&gt;='Launch flag &amp; Life-Cycle Factor'!$F$11, $E9&lt;='Launch flag &amp; Life-Cycle Factor'!$E$11),'Launch flag &amp; Life-Cycle Factor'!$B$11, IF(AND($E9&gt;='Launch flag &amp; Life-Cycle Factor'!$F$10, $E9&lt;='Launch flag &amp; Life-Cycle Factor'!$E$10),'Launch flag &amp; Life-Cycle Factor'!$B$10, IF(AND($E9&gt;='Launch flag &amp; Life-Cycle Factor'!$F$9, $E9&lt;='Launch flag &amp; Life-Cycle Factor'!$E$9),'Launch flag &amp; Life-Cycle Factor'!$B$9, IF(AND($E9&gt;='Launch flag &amp; Life-Cycle Factor'!$F$8, $E9&lt;='Launch flag &amp; Life-Cycle Factor'!$E$8),'Launch flag &amp; Life-Cycle Factor'!$B$8, IF(AND($E9&gt;='Launch flag &amp; Life-Cycle Factor'!$F$7, $E9&lt;='Launch flag &amp; Life-Cycle Factor'!$E$7),'Launch flag &amp; Life-Cycle Factor'!$B$7, IF(AND($E9&gt;='Launch flag &amp; Life-Cycle Factor'!$F$6, $E9&lt;='Launch flag &amp; Life-Cycle Factor'!$E$6),'Launch flag &amp; Life-Cycle Factor'!$B$6, "-")))))))))))))))))))</f>
        <v>Established</v>
      </c>
      <c r="E9" s="219">
        <f>INDEX('NPS with launch Dates '!$J$6:$J$59,MATCH('2.  Sales Data Key &amp; Key-Lyn'!$C9,'NPS with launch Dates '!$I$6:$I$59,0))</f>
        <v>44482</v>
      </c>
      <c r="F9" s="197">
        <f>INDEX('Raw Sales Forecasting Data'!$D$11:$H$126,MATCH('2.  Sales Data Key &amp; Key-Lyn'!$C9,'Raw Sales Forecasting Data'!$C$11:$C$126,0),MATCH('2.  Sales Data Key &amp; Key-Lyn'!F$6,'Raw Sales Forecasting Data'!$D$10:$H$10,0))</f>
        <v>210.77451060847829</v>
      </c>
      <c r="G9" s="198">
        <f>INDEX('Raw Sales Forecasting Data'!$D$11:$H$126,MATCH('2.  Sales Data Key &amp; Key-Lyn'!$C9,'Raw Sales Forecasting Data'!$C$11:$C$126,0),MATCH('2.  Sales Data Key &amp; Key-Lyn'!G$6,'Raw Sales Forecasting Data'!$D$10:$H$10,0))</f>
        <v>186.52872598495907</v>
      </c>
      <c r="H9" s="198">
        <f>INDEX('Raw Sales Forecasting Data'!$D$11:$H$126,MATCH('2.  Sales Data Key &amp; Key-Lyn'!$C9,'Raw Sales Forecasting Data'!$C$11:$C$126,0),MATCH('2.  Sales Data Key &amp; Key-Lyn'!H$6,'Raw Sales Forecasting Data'!$D$10:$H$10,0))</f>
        <v>157.18139052329636</v>
      </c>
      <c r="I9" s="198">
        <f>INDEX('Raw Sales Forecasting Data'!$D$11:$H$126,MATCH('2.  Sales Data Key &amp; Key-Lyn'!$C9,'Raw Sales Forecasting Data'!$C$11:$C$126,0),MATCH('2.  Sales Data Key &amp; Key-Lyn'!I$6,'Raw Sales Forecasting Data'!$D$10:$H$10,0))</f>
        <v>151.83494181187902</v>
      </c>
      <c r="J9" s="199">
        <f>INDEX('Raw Sales Forecasting Data'!$D$11:$H$126,MATCH('2.  Sales Data Key &amp; Key-Lyn'!$C9,'Raw Sales Forecasting Data'!$C$11:$C$126,0),MATCH('2.  Sales Data Key &amp; Key-Lyn'!J$6,'Raw Sales Forecasting Data'!$D$10:$H$10,0))</f>
        <v>154.27187817511751</v>
      </c>
      <c r="K9" s="203">
        <f>INDEX('Raw Sales Forecasting Data'!$J$11:$N$126,MATCH('2.  Sales Data Key &amp; Key-Lyn'!$C9,'Raw Sales Forecasting Data'!$C$11:$C$126,0),MATCH('2.  Sales Data Key &amp; Key-Lyn'!K$6,'Raw Sales Forecasting Data'!$J$10:$N$10,0))</f>
        <v>210.77451060847829</v>
      </c>
      <c r="L9" s="198">
        <f>INDEX('Raw Sales Forecasting Data'!$J$11:$N$126,MATCH('2.  Sales Data Key &amp; Key-Lyn'!$C9,'Raw Sales Forecasting Data'!$C$11:$C$126,0),MATCH('2.  Sales Data Key &amp; Key-Lyn'!L$6,'Raw Sales Forecasting Data'!$J$10:$N$10,0))</f>
        <v>186.52872598495907</v>
      </c>
      <c r="M9" s="198">
        <f>INDEX('Raw Sales Forecasting Data'!$J$11:$N$126,MATCH('2.  Sales Data Key &amp; Key-Lyn'!$C9,'Raw Sales Forecasting Data'!$C$11:$C$126,0),MATCH('2.  Sales Data Key &amp; Key-Lyn'!M$6,'Raw Sales Forecasting Data'!$J$10:$N$10,0))</f>
        <v>157.18139052329636</v>
      </c>
      <c r="N9" s="198">
        <f>INDEX('Raw Sales Forecasting Data'!$J$11:$N$126,MATCH('2.  Sales Data Key &amp; Key-Lyn'!$C9,'Raw Sales Forecasting Data'!$C$11:$C$126,0),MATCH('2.  Sales Data Key &amp; Key-Lyn'!N$6,'Raw Sales Forecasting Data'!$J$10:$N$10,0))</f>
        <v>151.83494181187902</v>
      </c>
      <c r="O9" s="238">
        <f>INDEX('Raw Sales Forecasting Data'!$J$11:$N$126,MATCH('2.  Sales Data Key &amp; Key-Lyn'!$C9,'Raw Sales Forecasting Data'!$C$11:$C$126,0),MATCH('2.  Sales Data Key &amp; Key-Lyn'!O$6,'Raw Sales Forecasting Data'!$J$10:$N$10,0))</f>
        <v>154.27187817511751</v>
      </c>
      <c r="P9" s="240">
        <f>IF(AND($E9&gt;='Launch flag &amp; Life-Cycle Factor'!$F$24, $E9&lt;='Launch flag &amp; Life-Cycle Factor'!$E$24),'Launch flag &amp; Life-Cycle Factor'!$H$24, IF(AND($E9&gt;='Launch flag &amp; Life-Cycle Factor'!$F$23, $E9&lt;='Launch flag &amp; Life-Cycle Factor'!$E$23),'Launch flag &amp; Life-Cycle Factor'!$H$23, IF(AND($E9&gt;='Launch flag &amp; Life-Cycle Factor'!$F$22, $E9&lt;='Launch flag &amp; Life-Cycle Factor'!$E$22),'Launch flag &amp; Life-Cycle Factor'!$H$22, IF(AND($E9&gt;='Launch flag &amp; Life-Cycle Factor'!$F$21, $E9&lt;='Launch flag &amp; Life-Cycle Factor'!$E$21),'Launch flag &amp; Life-Cycle Factor'!$H$21, IF(AND($E9&gt;='Launch flag &amp; Life-Cycle Factor'!$F$20, $E9&lt;='Launch flag &amp; Life-Cycle Factor'!$E$20),'Launch flag &amp; Life-Cycle Factor'!$H$20, IF(AND($E9&gt;='Launch flag &amp; Life-Cycle Factor'!$F$19, $E9&lt;='Launch flag &amp; Life-Cycle Factor'!$E$19),'Launch flag &amp; Life-Cycle Factor'!$H$19, IF(AND($E9&gt;='Launch flag &amp; Life-Cycle Factor'!$F$18, $E9&lt;='Launch flag &amp; Life-Cycle Factor'!$E$18),'Launch flag &amp; Life-Cycle Factor'!$H$18, IF(AND($E9&gt;='Launch flag &amp; Life-Cycle Factor'!$F$17, $E9&lt;='Launch flag &amp; Life-Cycle Factor'!$E$17),'Launch flag &amp; Life-Cycle Factor'!$H$17, IF(AND($E9&gt;='Launch flag &amp; Life-Cycle Factor'!$F$16, $E9&lt;='Launch flag &amp; Life-Cycle Factor'!$E$16),'Launch flag &amp; Life-Cycle Factor'!$H$16,IF(AND($E9&gt;='Launch flag &amp; Life-Cycle Factor'!$F$15, $E9&lt;='Launch flag &amp; Life-Cycle Factor'!$E$15),'Launch flag &amp; Life-Cycle Factor'!$H$15, IF(AND($E9&gt;='Launch flag &amp; Life-Cycle Factor'!$F$14, $E9&lt;='Launch flag &amp; Life-Cycle Factor'!$E$14),'Launch flag &amp; Life-Cycle Factor'!$H$14,IF(AND($E9&gt;='Launch flag &amp; Life-Cycle Factor'!$F$13, $E9&lt;='Launch flag &amp; Life-Cycle Factor'!$E$13),'Launch flag &amp; Life-Cycle Factor'!$H$13, IF(AND($E9&gt;='Launch flag &amp; Life-Cycle Factor'!$F$12, $E9&lt;='Launch flag &amp; Life-Cycle Factor'!$E$12),'Launch flag &amp; Life-Cycle Factor'!$H$12, IF(AND($E9&gt;='Launch flag &amp; Life-Cycle Factor'!$F$11, $E9&lt;='Launch flag &amp; Life-Cycle Factor'!$E$11),'Launch flag &amp; Life-Cycle Factor'!$H$11, IF(AND($E9&gt;='Launch flag &amp; Life-Cycle Factor'!$F$10, $E9&lt;='Launch flag &amp; Life-Cycle Factor'!$E$10),'Launch flag &amp; Life-Cycle Factor'!$H$10, IF(AND($E9&gt;='Launch flag &amp; Life-Cycle Factor'!$F$9, $E9&lt;='Launch flag &amp; Life-Cycle Factor'!$E$9),'Launch flag &amp; Life-Cycle Factor'!$H$9, IF(AND($E9&gt;='Launch flag &amp; Life-Cycle Factor'!$F$8, $E9&lt;='Launch flag &amp; Life-Cycle Factor'!$E$8),'Launch flag &amp; Life-Cycle Factor'!$H$8, IF(AND($E9&gt;='Launch flag &amp; Life-Cycle Factor'!$F$7, $E9&lt;='Launch flag &amp; Life-Cycle Factor'!$E$7),'Launch flag &amp; Life-Cycle Factor'!$H$7, IF(AND($E9&gt;='Launch flag &amp; Life-Cycle Factor'!$F$6, $E9&lt;='Launch flag &amp; Life-Cycle Factor'!$E$6),'Launch flag &amp; Life-Cycle Factor'!$H$6, "-")))))))))))))))))))</f>
        <v>0.65</v>
      </c>
      <c r="Q9" s="655">
        <f>IF(AND($E9&gt;='Launch flag &amp; Life-Cycle Factor'!$F$24, $E9&lt;='Launch flag &amp; Life-Cycle Factor'!$E$24),'Launch flag &amp; Life-Cycle Factor'!$I$24, IF(AND($E9&gt;='Launch flag &amp; Life-Cycle Factor'!$F$23, $E9&lt;='Launch flag &amp; Life-Cycle Factor'!$E$23),'Launch flag &amp; Life-Cycle Factor'!$I$23, IF(AND($E9&gt;='Launch flag &amp; Life-Cycle Factor'!$F$22, $E9&lt;='Launch flag &amp; Life-Cycle Factor'!$E$22),'Launch flag &amp; Life-Cycle Factor'!$I$22, IF(AND($E9&gt;='Launch flag &amp; Life-Cycle Factor'!$F$21, $E9&lt;='Launch flag &amp; Life-Cycle Factor'!$E$21),'Launch flag &amp; Life-Cycle Factor'!$I$21, IF(AND($E9&gt;='Launch flag &amp; Life-Cycle Factor'!$F$20, $E9&lt;='Launch flag &amp; Life-Cycle Factor'!$E$20),'Launch flag &amp; Life-Cycle Factor'!$I$20, IF(AND($E9&gt;='Launch flag &amp; Life-Cycle Factor'!$F$19, $E9&lt;='Launch flag &amp; Life-Cycle Factor'!$E$19),'Launch flag &amp; Life-Cycle Factor'!$I$19, IF(AND($E9&gt;='Launch flag &amp; Life-Cycle Factor'!$F$18, $E9&lt;='Launch flag &amp; Life-Cycle Factor'!$E$18),'Launch flag &amp; Life-Cycle Factor'!$I$18, IF(AND($E9&gt;='Launch flag &amp; Life-Cycle Factor'!$F$17, $E9&lt;='Launch flag &amp; Life-Cycle Factor'!$E$17),'Launch flag &amp; Life-Cycle Factor'!$I$17, IF(AND($E9&gt;='Launch flag &amp; Life-Cycle Factor'!$F$16, $E9&lt;='Launch flag &amp; Life-Cycle Factor'!$E$16),'Launch flag &amp; Life-Cycle Factor'!$I$16,IF(AND($E9&gt;='Launch flag &amp; Life-Cycle Factor'!$F$15, $E9&lt;='Launch flag &amp; Life-Cycle Factor'!$E$15),'Launch flag &amp; Life-Cycle Factor'!$I$15, IF(AND($E9&gt;='Launch flag &amp; Life-Cycle Factor'!$F$14, $E9&lt;='Launch flag &amp; Life-Cycle Factor'!$E$14),'Launch flag &amp; Life-Cycle Factor'!$I$14,IF(AND($E9&gt;='Launch flag &amp; Life-Cycle Factor'!$F$13, $E9&lt;='Launch flag &amp; Life-Cycle Factor'!$E$13),'Launch flag &amp; Life-Cycle Factor'!$I$13, IF(AND($E9&gt;='Launch flag &amp; Life-Cycle Factor'!$F$12, $E9&lt;='Launch flag &amp; Life-Cycle Factor'!$E$12),'Launch flag &amp; Life-Cycle Factor'!$I$12, IF(AND($E9&gt;='Launch flag &amp; Life-Cycle Factor'!$F$11, $E9&lt;='Launch flag &amp; Life-Cycle Factor'!$E$11),'Launch flag &amp; Life-Cycle Factor'!$I$11, IF(AND($E9&gt;='Launch flag &amp; Life-Cycle Factor'!$F$10, $E9&lt;='Launch flag &amp; Life-Cycle Factor'!$E$10),'Launch flag &amp; Life-Cycle Factor'!$I$10, IF(AND($E9&gt;='Launch flag &amp; Life-Cycle Factor'!$F$9, $E9&lt;='Launch flag &amp; Life-Cycle Factor'!$E$9),'Launch flag &amp; Life-Cycle Factor'!$I$9, IF(AND($E9&gt;='Launch flag &amp; Life-Cycle Factor'!$F$8, $E9&lt;='Launch flag &amp; Life-Cycle Factor'!$E$8),'Launch flag &amp; Life-Cycle Factor'!$I$8, IF(AND($E9&gt;='Launch flag &amp; Life-Cycle Factor'!$F$7, $E9&lt;='Launch flag &amp; Life-Cycle Factor'!$E$7),'Launch flag &amp; Life-Cycle Factor'!$I$7, IF(AND($E9&gt;='Launch flag &amp; Life-Cycle Factor'!$F$6, $E9&lt;='Launch flag &amp; Life-Cycle Factor'!$E$6),'Launch flag &amp; Life-Cycle Factor'!$I$6, "-")))))))))))))))))))</f>
        <v>0.35</v>
      </c>
      <c r="R9" s="662">
        <f t="shared" si="0"/>
        <v>121.2436718902234</v>
      </c>
      <c r="S9" s="663">
        <f t="shared" si="1"/>
        <v>55.013486683153722</v>
      </c>
      <c r="T9" s="242">
        <f t="shared" si="2"/>
        <v>121.2436718902234</v>
      </c>
      <c r="U9" s="243">
        <f t="shared" si="3"/>
        <v>55.013486683153722</v>
      </c>
      <c r="V9" s="837">
        <f t="shared" si="4"/>
        <v>176.25715857337713</v>
      </c>
      <c r="W9" s="838">
        <f t="shared" si="5"/>
        <v>176.25715857337713</v>
      </c>
      <c r="X9" s="672"/>
    </row>
    <row r="10" spans="2:24" x14ac:dyDescent="0.35">
      <c r="B10" s="569" t="s">
        <v>43</v>
      </c>
      <c r="C10" s="847" t="s">
        <v>346</v>
      </c>
      <c r="D10" s="848" t="str">
        <f>IF(AND($E10&gt;='Launch flag &amp; Life-Cycle Factor'!$F$24, $E10&lt;='Launch flag &amp; Life-Cycle Factor'!$E$24),'Launch flag &amp; Life-Cycle Factor'!$B$24, IF(AND($E10&gt;='Launch flag &amp; Life-Cycle Factor'!$F$23, $E10&lt;='Launch flag &amp; Life-Cycle Factor'!$E$23),'Launch flag &amp; Life-Cycle Factor'!$B$23, IF(AND($E10&gt;='Launch flag &amp; Life-Cycle Factor'!$F$22, $E10&lt;='Launch flag &amp; Life-Cycle Factor'!$E$22),'Launch flag &amp; Life-Cycle Factor'!$B$22, IF(AND($E10&gt;='Launch flag &amp; Life-Cycle Factor'!$F$21, $E10&lt;='Launch flag &amp; Life-Cycle Factor'!$E$21),'Launch flag &amp; Life-Cycle Factor'!$B$21, IF(AND($E10&gt;='Launch flag &amp; Life-Cycle Factor'!$F$20, $E10&lt;='Launch flag &amp; Life-Cycle Factor'!$E$20),'Launch flag &amp; Life-Cycle Factor'!$B$20, IF(AND($E10&gt;='Launch flag &amp; Life-Cycle Factor'!$F$19, $E10&lt;='Launch flag &amp; Life-Cycle Factor'!$E$19),'Launch flag &amp; Life-Cycle Factor'!$B$19, IF(AND($E10&gt;='Launch flag &amp; Life-Cycle Factor'!$F$18, $E10&lt;='Launch flag &amp; Life-Cycle Factor'!$E$18),'Launch flag &amp; Life-Cycle Factor'!$B$18, IF(AND($E10&gt;='Launch flag &amp; Life-Cycle Factor'!$F$17, $E10&lt;='Launch flag &amp; Life-Cycle Factor'!$E$17),'Launch flag &amp; Life-Cycle Factor'!$B$17, IF(AND($E10&gt;='Launch flag &amp; Life-Cycle Factor'!$F$16, $E10&lt;='Launch flag &amp; Life-Cycle Factor'!$E$16),'Launch flag &amp; Life-Cycle Factor'!$B$16,IF(AND($E10&gt;='Launch flag &amp; Life-Cycle Factor'!$F$15, $E10&lt;='Launch flag &amp; Life-Cycle Factor'!$E$15),'Launch flag &amp; Life-Cycle Factor'!$B$15, IF(AND($E10&gt;='Launch flag &amp; Life-Cycle Factor'!$F$14, $E10&lt;='Launch flag &amp; Life-Cycle Factor'!$E$14),'Launch flag &amp; Life-Cycle Factor'!$B$14,IF(AND($E10&gt;='Launch flag &amp; Life-Cycle Factor'!$F$13, $E10&lt;='Launch flag &amp; Life-Cycle Factor'!$E$13),'Launch flag &amp; Life-Cycle Factor'!$B$13, IF(AND($E10&gt;='Launch flag &amp; Life-Cycle Factor'!$F$12, $E10&lt;='Launch flag &amp; Life-Cycle Factor'!$E$12),'Launch flag &amp; Life-Cycle Factor'!$B$12, IF(AND($E10&gt;='Launch flag &amp; Life-Cycle Factor'!$F$11, $E10&lt;='Launch flag &amp; Life-Cycle Factor'!$E$11),'Launch flag &amp; Life-Cycle Factor'!$B$11, IF(AND($E10&gt;='Launch flag &amp; Life-Cycle Factor'!$F$10, $E10&lt;='Launch flag &amp; Life-Cycle Factor'!$E$10),'Launch flag &amp; Life-Cycle Factor'!$B$10, IF(AND($E10&gt;='Launch flag &amp; Life-Cycle Factor'!$F$9, $E10&lt;='Launch flag &amp; Life-Cycle Factor'!$E$9),'Launch flag &amp; Life-Cycle Factor'!$B$9, IF(AND($E10&gt;='Launch flag &amp; Life-Cycle Factor'!$F$8, $E10&lt;='Launch flag &amp; Life-Cycle Factor'!$E$8),'Launch flag &amp; Life-Cycle Factor'!$B$8, IF(AND($E10&gt;='Launch flag &amp; Life-Cycle Factor'!$F$7, $E10&lt;='Launch flag &amp; Life-Cycle Factor'!$E$7),'Launch flag &amp; Life-Cycle Factor'!$B$7, IF(AND($E10&gt;='Launch flag &amp; Life-Cycle Factor'!$F$6, $E10&lt;='Launch flag &amp; Life-Cycle Factor'!$E$6),'Launch flag &amp; Life-Cycle Factor'!$B$6, "-")))))))))))))))))))</f>
        <v>Mature</v>
      </c>
      <c r="E10" s="849">
        <f>INDEX('NPS with launch Dates '!$J$6:$J$59,MATCH('2.  Sales Data Key &amp; Key-Lyn'!$C10,'NPS with launch Dates '!$I$6:$I$59,0))</f>
        <v>43263</v>
      </c>
      <c r="F10" s="850">
        <f>INDEX('Raw Sales Forecasting Data'!$D$11:$H$126,MATCH('2.  Sales Data Key &amp; Key-Lyn'!$C10,'Raw Sales Forecasting Data'!$C$11:$C$126,0),MATCH('2.  Sales Data Key &amp; Key-Lyn'!F$6,'Raw Sales Forecasting Data'!$D$10:$H$10,0))</f>
        <v>0</v>
      </c>
      <c r="G10" s="851">
        <f>INDEX('Raw Sales Forecasting Data'!$D$11:$H$126,MATCH('2.  Sales Data Key &amp; Key-Lyn'!$C10,'Raw Sales Forecasting Data'!$C$11:$C$126,0),MATCH('2.  Sales Data Key &amp; Key-Lyn'!G$6,'Raw Sales Forecasting Data'!$D$10:$H$10,0))</f>
        <v>0</v>
      </c>
      <c r="H10" s="851">
        <f>INDEX('Raw Sales Forecasting Data'!$D$11:$H$126,MATCH('2.  Sales Data Key &amp; Key-Lyn'!$C10,'Raw Sales Forecasting Data'!$C$11:$C$126,0),MATCH('2.  Sales Data Key &amp; Key-Lyn'!H$6,'Raw Sales Forecasting Data'!$D$10:$H$10,0))</f>
        <v>0</v>
      </c>
      <c r="I10" s="851">
        <f>INDEX('Raw Sales Forecasting Data'!$D$11:$H$126,MATCH('2.  Sales Data Key &amp; Key-Lyn'!$C10,'Raw Sales Forecasting Data'!$C$11:$C$126,0),MATCH('2.  Sales Data Key &amp; Key-Lyn'!I$6,'Raw Sales Forecasting Data'!$D$10:$H$10,0))</f>
        <v>0</v>
      </c>
      <c r="J10" s="852">
        <f>INDEX('Raw Sales Forecasting Data'!$D$11:$H$126,MATCH('2.  Sales Data Key &amp; Key-Lyn'!$C10,'Raw Sales Forecasting Data'!$C$11:$C$126,0),MATCH('2.  Sales Data Key &amp; Key-Lyn'!J$6,'Raw Sales Forecasting Data'!$D$10:$H$10,0))</f>
        <v>0</v>
      </c>
      <c r="K10" s="853">
        <f>INDEX('Raw Sales Forecasting Data'!$J$11:$N$126,MATCH('2.  Sales Data Key &amp; Key-Lyn'!$C10,'Raw Sales Forecasting Data'!$C$11:$C$126,0),MATCH('2.  Sales Data Key &amp; Key-Lyn'!K$6,'Raw Sales Forecasting Data'!$J$10:$N$10,0))</f>
        <v>0</v>
      </c>
      <c r="L10" s="851">
        <f>INDEX('Raw Sales Forecasting Data'!$J$11:$N$126,MATCH('2.  Sales Data Key &amp; Key-Lyn'!$C10,'Raw Sales Forecasting Data'!$C$11:$C$126,0),MATCH('2.  Sales Data Key &amp; Key-Lyn'!L$6,'Raw Sales Forecasting Data'!$J$10:$N$10,0))</f>
        <v>0</v>
      </c>
      <c r="M10" s="851">
        <f>INDEX('Raw Sales Forecasting Data'!$J$11:$N$126,MATCH('2.  Sales Data Key &amp; Key-Lyn'!$C10,'Raw Sales Forecasting Data'!$C$11:$C$126,0),MATCH('2.  Sales Data Key &amp; Key-Lyn'!M$6,'Raw Sales Forecasting Data'!$J$10:$N$10,0))</f>
        <v>0</v>
      </c>
      <c r="N10" s="851">
        <f>INDEX('Raw Sales Forecasting Data'!$J$11:$N$126,MATCH('2.  Sales Data Key &amp; Key-Lyn'!$C10,'Raw Sales Forecasting Data'!$C$11:$C$126,0),MATCH('2.  Sales Data Key &amp; Key-Lyn'!N$6,'Raw Sales Forecasting Data'!$J$10:$N$10,0))</f>
        <v>0</v>
      </c>
      <c r="O10" s="854">
        <f>INDEX('Raw Sales Forecasting Data'!$J$11:$N$126,MATCH('2.  Sales Data Key &amp; Key-Lyn'!$C10,'Raw Sales Forecasting Data'!$C$11:$C$126,0),MATCH('2.  Sales Data Key &amp; Key-Lyn'!O$6,'Raw Sales Forecasting Data'!$J$10:$N$10,0))</f>
        <v>0</v>
      </c>
      <c r="P10" s="855">
        <f>IF(AND($E10&gt;='Launch flag &amp; Life-Cycle Factor'!$F$24, $E10&lt;='Launch flag &amp; Life-Cycle Factor'!$E$24),'Launch flag &amp; Life-Cycle Factor'!$H$24, IF(AND($E10&gt;='Launch flag &amp; Life-Cycle Factor'!$F$23, $E10&lt;='Launch flag &amp; Life-Cycle Factor'!$E$23),'Launch flag &amp; Life-Cycle Factor'!$H$23, IF(AND($E10&gt;='Launch flag &amp; Life-Cycle Factor'!$F$22, $E10&lt;='Launch flag &amp; Life-Cycle Factor'!$E$22),'Launch flag &amp; Life-Cycle Factor'!$H$22, IF(AND($E10&gt;='Launch flag &amp; Life-Cycle Factor'!$F$21, $E10&lt;='Launch flag &amp; Life-Cycle Factor'!$E$21),'Launch flag &amp; Life-Cycle Factor'!$H$21, IF(AND($E10&gt;='Launch flag &amp; Life-Cycle Factor'!$F$20, $E10&lt;='Launch flag &amp; Life-Cycle Factor'!$E$20),'Launch flag &amp; Life-Cycle Factor'!$H$20, IF(AND($E10&gt;='Launch flag &amp; Life-Cycle Factor'!$F$19, $E10&lt;='Launch flag &amp; Life-Cycle Factor'!$E$19),'Launch flag &amp; Life-Cycle Factor'!$H$19, IF(AND($E10&gt;='Launch flag &amp; Life-Cycle Factor'!$F$18, $E10&lt;='Launch flag &amp; Life-Cycle Factor'!$E$18),'Launch flag &amp; Life-Cycle Factor'!$H$18, IF(AND($E10&gt;='Launch flag &amp; Life-Cycle Factor'!$F$17, $E10&lt;='Launch flag &amp; Life-Cycle Factor'!$E$17),'Launch flag &amp; Life-Cycle Factor'!$H$17, IF(AND($E10&gt;='Launch flag &amp; Life-Cycle Factor'!$F$16, $E10&lt;='Launch flag &amp; Life-Cycle Factor'!$E$16),'Launch flag &amp; Life-Cycle Factor'!$H$16,IF(AND($E10&gt;='Launch flag &amp; Life-Cycle Factor'!$F$15, $E10&lt;='Launch flag &amp; Life-Cycle Factor'!$E$15),'Launch flag &amp; Life-Cycle Factor'!$H$15, IF(AND($E10&gt;='Launch flag &amp; Life-Cycle Factor'!$F$14, $E10&lt;='Launch flag &amp; Life-Cycle Factor'!$E$14),'Launch flag &amp; Life-Cycle Factor'!$H$14,IF(AND($E10&gt;='Launch flag &amp; Life-Cycle Factor'!$F$13, $E10&lt;='Launch flag &amp; Life-Cycle Factor'!$E$13),'Launch flag &amp; Life-Cycle Factor'!$H$13, IF(AND($E10&gt;='Launch flag &amp; Life-Cycle Factor'!$F$12, $E10&lt;='Launch flag &amp; Life-Cycle Factor'!$E$12),'Launch flag &amp; Life-Cycle Factor'!$H$12, IF(AND($E10&gt;='Launch flag &amp; Life-Cycle Factor'!$F$11, $E10&lt;='Launch flag &amp; Life-Cycle Factor'!$E$11),'Launch flag &amp; Life-Cycle Factor'!$H$11, IF(AND($E10&gt;='Launch flag &amp; Life-Cycle Factor'!$F$10, $E10&lt;='Launch flag &amp; Life-Cycle Factor'!$E$10),'Launch flag &amp; Life-Cycle Factor'!$H$10, IF(AND($E10&gt;='Launch flag &amp; Life-Cycle Factor'!$F$9, $E10&lt;='Launch flag &amp; Life-Cycle Factor'!$E$9),'Launch flag &amp; Life-Cycle Factor'!$H$9, IF(AND($E10&gt;='Launch flag &amp; Life-Cycle Factor'!$F$8, $E10&lt;='Launch flag &amp; Life-Cycle Factor'!$E$8),'Launch flag &amp; Life-Cycle Factor'!$H$8, IF(AND($E10&gt;='Launch flag &amp; Life-Cycle Factor'!$F$7, $E10&lt;='Launch flag &amp; Life-Cycle Factor'!$E$7),'Launch flag &amp; Life-Cycle Factor'!$H$7, IF(AND($E10&gt;='Launch flag &amp; Life-Cycle Factor'!$F$6, $E10&lt;='Launch flag &amp; Life-Cycle Factor'!$E$6),'Launch flag &amp; Life-Cycle Factor'!$H$6, "-")))))))))))))))))))</f>
        <v>0.65</v>
      </c>
      <c r="Q10" s="856">
        <f>IF(AND($E10&gt;='Launch flag &amp; Life-Cycle Factor'!$F$24, $E10&lt;='Launch flag &amp; Life-Cycle Factor'!$E$24),'Launch flag &amp; Life-Cycle Factor'!$I$24, IF(AND($E10&gt;='Launch flag &amp; Life-Cycle Factor'!$F$23, $E10&lt;='Launch flag &amp; Life-Cycle Factor'!$E$23),'Launch flag &amp; Life-Cycle Factor'!$I$23, IF(AND($E10&gt;='Launch flag &amp; Life-Cycle Factor'!$F$22, $E10&lt;='Launch flag &amp; Life-Cycle Factor'!$E$22),'Launch flag &amp; Life-Cycle Factor'!$I$22, IF(AND($E10&gt;='Launch flag &amp; Life-Cycle Factor'!$F$21, $E10&lt;='Launch flag &amp; Life-Cycle Factor'!$E$21),'Launch flag &amp; Life-Cycle Factor'!$I$21, IF(AND($E10&gt;='Launch flag &amp; Life-Cycle Factor'!$F$20, $E10&lt;='Launch flag &amp; Life-Cycle Factor'!$E$20),'Launch flag &amp; Life-Cycle Factor'!$I$20, IF(AND($E10&gt;='Launch flag &amp; Life-Cycle Factor'!$F$19, $E10&lt;='Launch flag &amp; Life-Cycle Factor'!$E$19),'Launch flag &amp; Life-Cycle Factor'!$I$19, IF(AND($E10&gt;='Launch flag &amp; Life-Cycle Factor'!$F$18, $E10&lt;='Launch flag &amp; Life-Cycle Factor'!$E$18),'Launch flag &amp; Life-Cycle Factor'!$I$18, IF(AND($E10&gt;='Launch flag &amp; Life-Cycle Factor'!$F$17, $E10&lt;='Launch flag &amp; Life-Cycle Factor'!$E$17),'Launch flag &amp; Life-Cycle Factor'!$I$17, IF(AND($E10&gt;='Launch flag &amp; Life-Cycle Factor'!$F$16, $E10&lt;='Launch flag &amp; Life-Cycle Factor'!$E$16),'Launch flag &amp; Life-Cycle Factor'!$I$16,IF(AND($E10&gt;='Launch flag &amp; Life-Cycle Factor'!$F$15, $E10&lt;='Launch flag &amp; Life-Cycle Factor'!$E$15),'Launch flag &amp; Life-Cycle Factor'!$I$15, IF(AND($E10&gt;='Launch flag &amp; Life-Cycle Factor'!$F$14, $E10&lt;='Launch flag &amp; Life-Cycle Factor'!$E$14),'Launch flag &amp; Life-Cycle Factor'!$I$14,IF(AND($E10&gt;='Launch flag &amp; Life-Cycle Factor'!$F$13, $E10&lt;='Launch flag &amp; Life-Cycle Factor'!$E$13),'Launch flag &amp; Life-Cycle Factor'!$I$13, IF(AND($E10&gt;='Launch flag &amp; Life-Cycle Factor'!$F$12, $E10&lt;='Launch flag &amp; Life-Cycle Factor'!$E$12),'Launch flag &amp; Life-Cycle Factor'!$I$12, IF(AND($E10&gt;='Launch flag &amp; Life-Cycle Factor'!$F$11, $E10&lt;='Launch flag &amp; Life-Cycle Factor'!$E$11),'Launch flag &amp; Life-Cycle Factor'!$I$11, IF(AND($E10&gt;='Launch flag &amp; Life-Cycle Factor'!$F$10, $E10&lt;='Launch flag &amp; Life-Cycle Factor'!$E$10),'Launch flag &amp; Life-Cycle Factor'!$I$10, IF(AND($E10&gt;='Launch flag &amp; Life-Cycle Factor'!$F$9, $E10&lt;='Launch flag &amp; Life-Cycle Factor'!$E$9),'Launch flag &amp; Life-Cycle Factor'!$I$9, IF(AND($E10&gt;='Launch flag &amp; Life-Cycle Factor'!$F$8, $E10&lt;='Launch flag &amp; Life-Cycle Factor'!$E$8),'Launch flag &amp; Life-Cycle Factor'!$I$8, IF(AND($E10&gt;='Launch flag &amp; Life-Cycle Factor'!$F$7, $E10&lt;='Launch flag &amp; Life-Cycle Factor'!$E$7),'Launch flag &amp; Life-Cycle Factor'!$I$7, IF(AND($E10&gt;='Launch flag &amp; Life-Cycle Factor'!$F$6, $E10&lt;='Launch flag &amp; Life-Cycle Factor'!$E$6),'Launch flag &amp; Life-Cycle Factor'!$I$6, "-")))))))))))))))))))</f>
        <v>0.35</v>
      </c>
      <c r="R10" s="857">
        <f t="shared" si="0"/>
        <v>0</v>
      </c>
      <c r="S10" s="858">
        <f t="shared" si="1"/>
        <v>0</v>
      </c>
      <c r="T10" s="859">
        <f t="shared" si="2"/>
        <v>0</v>
      </c>
      <c r="U10" s="860">
        <f t="shared" si="3"/>
        <v>0</v>
      </c>
      <c r="V10" s="861">
        <f t="shared" si="4"/>
        <v>0</v>
      </c>
      <c r="W10" s="862">
        <f t="shared" si="5"/>
        <v>0</v>
      </c>
      <c r="X10" s="846" t="s">
        <v>1178</v>
      </c>
    </row>
    <row r="11" spans="2:24" x14ac:dyDescent="0.35">
      <c r="B11" s="186" t="s">
        <v>43</v>
      </c>
      <c r="C11" s="192" t="s">
        <v>55</v>
      </c>
      <c r="D11" s="206" t="str">
        <f>IF(AND($E11&gt;='Launch flag &amp; Life-Cycle Factor'!$F$24, $E11&lt;='Launch flag &amp; Life-Cycle Factor'!$E$24),'Launch flag &amp; Life-Cycle Factor'!$B$24, IF(AND($E11&gt;='Launch flag &amp; Life-Cycle Factor'!$F$23, $E11&lt;='Launch flag &amp; Life-Cycle Factor'!$E$23),'Launch flag &amp; Life-Cycle Factor'!$B$23, IF(AND($E11&gt;='Launch flag &amp; Life-Cycle Factor'!$F$22, $E11&lt;='Launch flag &amp; Life-Cycle Factor'!$E$22),'Launch flag &amp; Life-Cycle Factor'!$B$22, IF(AND($E11&gt;='Launch flag &amp; Life-Cycle Factor'!$F$21, $E11&lt;='Launch flag &amp; Life-Cycle Factor'!$E$21),'Launch flag &amp; Life-Cycle Factor'!$B$21, IF(AND($E11&gt;='Launch flag &amp; Life-Cycle Factor'!$F$20, $E11&lt;='Launch flag &amp; Life-Cycle Factor'!$E$20),'Launch flag &amp; Life-Cycle Factor'!$B$20, IF(AND($E11&gt;='Launch flag &amp; Life-Cycle Factor'!$F$19, $E11&lt;='Launch flag &amp; Life-Cycle Factor'!$E$19),'Launch flag &amp; Life-Cycle Factor'!$B$19, IF(AND($E11&gt;='Launch flag &amp; Life-Cycle Factor'!$F$18, $E11&lt;='Launch flag &amp; Life-Cycle Factor'!$E$18),'Launch flag &amp; Life-Cycle Factor'!$B$18, IF(AND($E11&gt;='Launch flag &amp; Life-Cycle Factor'!$F$17, $E11&lt;='Launch flag &amp; Life-Cycle Factor'!$E$17),'Launch flag &amp; Life-Cycle Factor'!$B$17, IF(AND($E11&gt;='Launch flag &amp; Life-Cycle Factor'!$F$16, $E11&lt;='Launch flag &amp; Life-Cycle Factor'!$E$16),'Launch flag &amp; Life-Cycle Factor'!$B$16,IF(AND($E11&gt;='Launch flag &amp; Life-Cycle Factor'!$F$15, $E11&lt;='Launch flag &amp; Life-Cycle Factor'!$E$15),'Launch flag &amp; Life-Cycle Factor'!$B$15, IF(AND($E11&gt;='Launch flag &amp; Life-Cycle Factor'!$F$14, $E11&lt;='Launch flag &amp; Life-Cycle Factor'!$E$14),'Launch flag &amp; Life-Cycle Factor'!$B$14,IF(AND($E11&gt;='Launch flag &amp; Life-Cycle Factor'!$F$13, $E11&lt;='Launch flag &amp; Life-Cycle Factor'!$E$13),'Launch flag &amp; Life-Cycle Factor'!$B$13, IF(AND($E11&gt;='Launch flag &amp; Life-Cycle Factor'!$F$12, $E11&lt;='Launch flag &amp; Life-Cycle Factor'!$E$12),'Launch flag &amp; Life-Cycle Factor'!$B$12, IF(AND($E11&gt;='Launch flag &amp; Life-Cycle Factor'!$F$11, $E11&lt;='Launch flag &amp; Life-Cycle Factor'!$E$11),'Launch flag &amp; Life-Cycle Factor'!$B$11, IF(AND($E11&gt;='Launch flag &amp; Life-Cycle Factor'!$F$10, $E11&lt;='Launch flag &amp; Life-Cycle Factor'!$E$10),'Launch flag &amp; Life-Cycle Factor'!$B$10, IF(AND($E11&gt;='Launch flag &amp; Life-Cycle Factor'!$F$9, $E11&lt;='Launch flag &amp; Life-Cycle Factor'!$E$9),'Launch flag &amp; Life-Cycle Factor'!$B$9, IF(AND($E11&gt;='Launch flag &amp; Life-Cycle Factor'!$F$8, $E11&lt;='Launch flag &amp; Life-Cycle Factor'!$E$8),'Launch flag &amp; Life-Cycle Factor'!$B$8, IF(AND($E11&gt;='Launch flag &amp; Life-Cycle Factor'!$F$7, $E11&lt;='Launch flag &amp; Life-Cycle Factor'!$E$7),'Launch flag &amp; Life-Cycle Factor'!$B$7, IF(AND($E11&gt;='Launch flag &amp; Life-Cycle Factor'!$F$6, $E11&lt;='Launch flag &amp; Life-Cycle Factor'!$E$6),'Launch flag &amp; Life-Cycle Factor'!$B$6, "-")))))))))))))))))))</f>
        <v>Mature</v>
      </c>
      <c r="E11" s="219">
        <f>INDEX('NPS with launch Dates '!$J$6:$J$59,MATCH('2.  Sales Data Key &amp; Key-Lyn'!$C11,'NPS with launch Dates '!$I$6:$I$59,0))</f>
        <v>43101</v>
      </c>
      <c r="F11" s="197">
        <f>INDEX('Raw Sales Forecasting Data'!$D$11:$H$126,MATCH('2.  Sales Data Key &amp; Key-Lyn'!$C11,'Raw Sales Forecasting Data'!$C$11:$C$126,0),MATCH('2.  Sales Data Key &amp; Key-Lyn'!F$6,'Raw Sales Forecasting Data'!$D$10:$H$10,0))</f>
        <v>465.60136347865676</v>
      </c>
      <c r="G11" s="198">
        <f>INDEX('Raw Sales Forecasting Data'!$D$11:$H$126,MATCH('2.  Sales Data Key &amp; Key-Lyn'!$C11,'Raw Sales Forecasting Data'!$C$11:$C$126,0),MATCH('2.  Sales Data Key &amp; Key-Lyn'!G$6,'Raw Sales Forecasting Data'!$D$10:$H$10,0))</f>
        <v>481.04855593332945</v>
      </c>
      <c r="H11" s="198">
        <f>INDEX('Raw Sales Forecasting Data'!$D$11:$H$126,MATCH('2.  Sales Data Key &amp; Key-Lyn'!$C11,'Raw Sales Forecasting Data'!$C$11:$C$126,0),MATCH('2.  Sales Data Key &amp; Key-Lyn'!H$6,'Raw Sales Forecasting Data'!$D$10:$H$10,0))</f>
        <v>469.99495040756415</v>
      </c>
      <c r="I11" s="198">
        <f>INDEX('Raw Sales Forecasting Data'!$D$11:$H$126,MATCH('2.  Sales Data Key &amp; Key-Lyn'!$C11,'Raw Sales Forecasting Data'!$C$11:$C$126,0),MATCH('2.  Sales Data Key &amp; Key-Lyn'!I$6,'Raw Sales Forecasting Data'!$D$10:$H$10,0))</f>
        <v>456.60364100311915</v>
      </c>
      <c r="J11" s="199">
        <f>INDEX('Raw Sales Forecasting Data'!$D$11:$H$126,MATCH('2.  Sales Data Key &amp; Key-Lyn'!$C11,'Raw Sales Forecasting Data'!$C$11:$C$126,0),MATCH('2.  Sales Data Key &amp; Key-Lyn'!J$6,'Raw Sales Forecasting Data'!$D$10:$H$10,0))</f>
        <v>458.07737036582603</v>
      </c>
      <c r="K11" s="203">
        <f>INDEX('Raw Sales Forecasting Data'!$J$11:$N$126,MATCH('2.  Sales Data Key &amp; Key-Lyn'!$C11,'Raw Sales Forecasting Data'!$C$11:$C$126,0),MATCH('2.  Sales Data Key &amp; Key-Lyn'!K$6,'Raw Sales Forecasting Data'!$J$10:$N$10,0))</f>
        <v>465.60136347865676</v>
      </c>
      <c r="L11" s="198">
        <f>INDEX('Raw Sales Forecasting Data'!$J$11:$N$126,MATCH('2.  Sales Data Key &amp; Key-Lyn'!$C11,'Raw Sales Forecasting Data'!$C$11:$C$126,0),MATCH('2.  Sales Data Key &amp; Key-Lyn'!L$6,'Raw Sales Forecasting Data'!$J$10:$N$10,0))</f>
        <v>481.04855593332945</v>
      </c>
      <c r="M11" s="198">
        <f>INDEX('Raw Sales Forecasting Data'!$J$11:$N$126,MATCH('2.  Sales Data Key &amp; Key-Lyn'!$C11,'Raw Sales Forecasting Data'!$C$11:$C$126,0),MATCH('2.  Sales Data Key &amp; Key-Lyn'!M$6,'Raw Sales Forecasting Data'!$J$10:$N$10,0))</f>
        <v>469.99495040756415</v>
      </c>
      <c r="N11" s="198">
        <f>INDEX('Raw Sales Forecasting Data'!$J$11:$N$126,MATCH('2.  Sales Data Key &amp; Key-Lyn'!$C11,'Raw Sales Forecasting Data'!$C$11:$C$126,0),MATCH('2.  Sales Data Key &amp; Key-Lyn'!N$6,'Raw Sales Forecasting Data'!$J$10:$N$10,0))</f>
        <v>456.60364100311915</v>
      </c>
      <c r="O11" s="238">
        <f>INDEX('Raw Sales Forecasting Data'!$J$11:$N$126,MATCH('2.  Sales Data Key &amp; Key-Lyn'!$C11,'Raw Sales Forecasting Data'!$C$11:$C$126,0),MATCH('2.  Sales Data Key &amp; Key-Lyn'!O$6,'Raw Sales Forecasting Data'!$J$10:$N$10,0))</f>
        <v>458.07737036582603</v>
      </c>
      <c r="P11" s="240">
        <f>IF(AND($E11&gt;='Launch flag &amp; Life-Cycle Factor'!$F$24, $E11&lt;='Launch flag &amp; Life-Cycle Factor'!$E$24),'Launch flag &amp; Life-Cycle Factor'!$H$24, IF(AND($E11&gt;='Launch flag &amp; Life-Cycle Factor'!$F$23, $E11&lt;='Launch flag &amp; Life-Cycle Factor'!$E$23),'Launch flag &amp; Life-Cycle Factor'!$H$23, IF(AND($E11&gt;='Launch flag &amp; Life-Cycle Factor'!$F$22, $E11&lt;='Launch flag &amp; Life-Cycle Factor'!$E$22),'Launch flag &amp; Life-Cycle Factor'!$H$22, IF(AND($E11&gt;='Launch flag &amp; Life-Cycle Factor'!$F$21, $E11&lt;='Launch flag &amp; Life-Cycle Factor'!$E$21),'Launch flag &amp; Life-Cycle Factor'!$H$21, IF(AND($E11&gt;='Launch flag &amp; Life-Cycle Factor'!$F$20, $E11&lt;='Launch flag &amp; Life-Cycle Factor'!$E$20),'Launch flag &amp; Life-Cycle Factor'!$H$20, IF(AND($E11&gt;='Launch flag &amp; Life-Cycle Factor'!$F$19, $E11&lt;='Launch flag &amp; Life-Cycle Factor'!$E$19),'Launch flag &amp; Life-Cycle Factor'!$H$19, IF(AND($E11&gt;='Launch flag &amp; Life-Cycle Factor'!$F$18, $E11&lt;='Launch flag &amp; Life-Cycle Factor'!$E$18),'Launch flag &amp; Life-Cycle Factor'!$H$18, IF(AND($E11&gt;='Launch flag &amp; Life-Cycle Factor'!$F$17, $E11&lt;='Launch flag &amp; Life-Cycle Factor'!$E$17),'Launch flag &amp; Life-Cycle Factor'!$H$17, IF(AND($E11&gt;='Launch flag &amp; Life-Cycle Factor'!$F$16, $E11&lt;='Launch flag &amp; Life-Cycle Factor'!$E$16),'Launch flag &amp; Life-Cycle Factor'!$H$16,IF(AND($E11&gt;='Launch flag &amp; Life-Cycle Factor'!$F$15, $E11&lt;='Launch flag &amp; Life-Cycle Factor'!$E$15),'Launch flag &amp; Life-Cycle Factor'!$H$15, IF(AND($E11&gt;='Launch flag &amp; Life-Cycle Factor'!$F$14, $E11&lt;='Launch flag &amp; Life-Cycle Factor'!$E$14),'Launch flag &amp; Life-Cycle Factor'!$H$14,IF(AND($E11&gt;='Launch flag &amp; Life-Cycle Factor'!$F$13, $E11&lt;='Launch flag &amp; Life-Cycle Factor'!$E$13),'Launch flag &amp; Life-Cycle Factor'!$H$13, IF(AND($E11&gt;='Launch flag &amp; Life-Cycle Factor'!$F$12, $E11&lt;='Launch flag &amp; Life-Cycle Factor'!$E$12),'Launch flag &amp; Life-Cycle Factor'!$H$12, IF(AND($E11&gt;='Launch flag &amp; Life-Cycle Factor'!$F$11, $E11&lt;='Launch flag &amp; Life-Cycle Factor'!$E$11),'Launch flag &amp; Life-Cycle Factor'!$H$11, IF(AND($E11&gt;='Launch flag &amp; Life-Cycle Factor'!$F$10, $E11&lt;='Launch flag &amp; Life-Cycle Factor'!$E$10),'Launch flag &amp; Life-Cycle Factor'!$H$10, IF(AND($E11&gt;='Launch flag &amp; Life-Cycle Factor'!$F$9, $E11&lt;='Launch flag &amp; Life-Cycle Factor'!$E$9),'Launch flag &amp; Life-Cycle Factor'!$H$9, IF(AND($E11&gt;='Launch flag &amp; Life-Cycle Factor'!$F$8, $E11&lt;='Launch flag &amp; Life-Cycle Factor'!$E$8),'Launch flag &amp; Life-Cycle Factor'!$H$8, IF(AND($E11&gt;='Launch flag &amp; Life-Cycle Factor'!$F$7, $E11&lt;='Launch flag &amp; Life-Cycle Factor'!$E$7),'Launch flag &amp; Life-Cycle Factor'!$H$7, IF(AND($E11&gt;='Launch flag &amp; Life-Cycle Factor'!$F$6, $E11&lt;='Launch flag &amp; Life-Cycle Factor'!$E$6),'Launch flag &amp; Life-Cycle Factor'!$H$6, "-")))))))))))))))))))</f>
        <v>0.65</v>
      </c>
      <c r="Q11" s="655">
        <f>IF(AND($E11&gt;='Launch flag &amp; Life-Cycle Factor'!$F$24, $E11&lt;='Launch flag &amp; Life-Cycle Factor'!$E$24),'Launch flag &amp; Life-Cycle Factor'!$I$24, IF(AND($E11&gt;='Launch flag &amp; Life-Cycle Factor'!$F$23, $E11&lt;='Launch flag &amp; Life-Cycle Factor'!$E$23),'Launch flag &amp; Life-Cycle Factor'!$I$23, IF(AND($E11&gt;='Launch flag &amp; Life-Cycle Factor'!$F$22, $E11&lt;='Launch flag &amp; Life-Cycle Factor'!$E$22),'Launch flag &amp; Life-Cycle Factor'!$I$22, IF(AND($E11&gt;='Launch flag &amp; Life-Cycle Factor'!$F$21, $E11&lt;='Launch flag &amp; Life-Cycle Factor'!$E$21),'Launch flag &amp; Life-Cycle Factor'!$I$21, IF(AND($E11&gt;='Launch flag &amp; Life-Cycle Factor'!$F$20, $E11&lt;='Launch flag &amp; Life-Cycle Factor'!$E$20),'Launch flag &amp; Life-Cycle Factor'!$I$20, IF(AND($E11&gt;='Launch flag &amp; Life-Cycle Factor'!$F$19, $E11&lt;='Launch flag &amp; Life-Cycle Factor'!$E$19),'Launch flag &amp; Life-Cycle Factor'!$I$19, IF(AND($E11&gt;='Launch flag &amp; Life-Cycle Factor'!$F$18, $E11&lt;='Launch flag &amp; Life-Cycle Factor'!$E$18),'Launch flag &amp; Life-Cycle Factor'!$I$18, IF(AND($E11&gt;='Launch flag &amp; Life-Cycle Factor'!$F$17, $E11&lt;='Launch flag &amp; Life-Cycle Factor'!$E$17),'Launch flag &amp; Life-Cycle Factor'!$I$17, IF(AND($E11&gt;='Launch flag &amp; Life-Cycle Factor'!$F$16, $E11&lt;='Launch flag &amp; Life-Cycle Factor'!$E$16),'Launch flag &amp; Life-Cycle Factor'!$I$16,IF(AND($E11&gt;='Launch flag &amp; Life-Cycle Factor'!$F$15, $E11&lt;='Launch flag &amp; Life-Cycle Factor'!$E$15),'Launch flag &amp; Life-Cycle Factor'!$I$15, IF(AND($E11&gt;='Launch flag &amp; Life-Cycle Factor'!$F$14, $E11&lt;='Launch flag &amp; Life-Cycle Factor'!$E$14),'Launch flag &amp; Life-Cycle Factor'!$I$14,IF(AND($E11&gt;='Launch flag &amp; Life-Cycle Factor'!$F$13, $E11&lt;='Launch flag &amp; Life-Cycle Factor'!$E$13),'Launch flag &amp; Life-Cycle Factor'!$I$13, IF(AND($E11&gt;='Launch flag &amp; Life-Cycle Factor'!$F$12, $E11&lt;='Launch flag &amp; Life-Cycle Factor'!$E$12),'Launch flag &amp; Life-Cycle Factor'!$I$12, IF(AND($E11&gt;='Launch flag &amp; Life-Cycle Factor'!$F$11, $E11&lt;='Launch flag &amp; Life-Cycle Factor'!$E$11),'Launch flag &amp; Life-Cycle Factor'!$I$11, IF(AND($E11&gt;='Launch flag &amp; Life-Cycle Factor'!$F$10, $E11&lt;='Launch flag &amp; Life-Cycle Factor'!$E$10),'Launch flag &amp; Life-Cycle Factor'!$I$10, IF(AND($E11&gt;='Launch flag &amp; Life-Cycle Factor'!$F$9, $E11&lt;='Launch flag &amp; Life-Cycle Factor'!$E$9),'Launch flag &amp; Life-Cycle Factor'!$I$9, IF(AND($E11&gt;='Launch flag &amp; Life-Cycle Factor'!$F$8, $E11&lt;='Launch flag &amp; Life-Cycle Factor'!$E$8),'Launch flag &amp; Life-Cycle Factor'!$I$8, IF(AND($E11&gt;='Launch flag &amp; Life-Cycle Factor'!$F$7, $E11&lt;='Launch flag &amp; Life-Cycle Factor'!$E$7),'Launch flag &amp; Life-Cycle Factor'!$I$7, IF(AND($E11&gt;='Launch flag &amp; Life-Cycle Factor'!$F$6, $E11&lt;='Launch flag &amp; Life-Cycle Factor'!$E$6),'Launch flag &amp; Life-Cycle Factor'!$I$6, "-")))))))))))))))))))</f>
        <v>0.35</v>
      </c>
      <c r="R11" s="662">
        <f t="shared" si="0"/>
        <v>312.68156135666413</v>
      </c>
      <c r="S11" s="663">
        <f t="shared" si="1"/>
        <v>164.49823264264745</v>
      </c>
      <c r="T11" s="242">
        <f t="shared" si="2"/>
        <v>312.68156135666413</v>
      </c>
      <c r="U11" s="243">
        <f t="shared" si="3"/>
        <v>164.49823264264745</v>
      </c>
      <c r="V11" s="837">
        <f t="shared" si="4"/>
        <v>477.17979399931158</v>
      </c>
      <c r="W11" s="838">
        <f t="shared" si="5"/>
        <v>477.17979399931158</v>
      </c>
      <c r="X11" s="672"/>
    </row>
    <row r="12" spans="2:24" x14ac:dyDescent="0.35">
      <c r="B12" s="569" t="s">
        <v>43</v>
      </c>
      <c r="C12" s="847" t="s">
        <v>59</v>
      </c>
      <c r="D12" s="848" t="str">
        <f>IF(AND($E12&gt;='Launch flag &amp; Life-Cycle Factor'!$F$24, $E12&lt;='Launch flag &amp; Life-Cycle Factor'!$E$24),'Launch flag &amp; Life-Cycle Factor'!$B$24, IF(AND($E12&gt;='Launch flag &amp; Life-Cycle Factor'!$F$23, $E12&lt;='Launch flag &amp; Life-Cycle Factor'!$E$23),'Launch flag &amp; Life-Cycle Factor'!$B$23, IF(AND($E12&gt;='Launch flag &amp; Life-Cycle Factor'!$F$22, $E12&lt;='Launch flag &amp; Life-Cycle Factor'!$E$22),'Launch flag &amp; Life-Cycle Factor'!$B$22, IF(AND($E12&gt;='Launch flag &amp; Life-Cycle Factor'!$F$21, $E12&lt;='Launch flag &amp; Life-Cycle Factor'!$E$21),'Launch flag &amp; Life-Cycle Factor'!$B$21, IF(AND($E12&gt;='Launch flag &amp; Life-Cycle Factor'!$F$20, $E12&lt;='Launch flag &amp; Life-Cycle Factor'!$E$20),'Launch flag &amp; Life-Cycle Factor'!$B$20, IF(AND($E12&gt;='Launch flag &amp; Life-Cycle Factor'!$F$19, $E12&lt;='Launch flag &amp; Life-Cycle Factor'!$E$19),'Launch flag &amp; Life-Cycle Factor'!$B$19, IF(AND($E12&gt;='Launch flag &amp; Life-Cycle Factor'!$F$18, $E12&lt;='Launch flag &amp; Life-Cycle Factor'!$E$18),'Launch flag &amp; Life-Cycle Factor'!$B$18, IF(AND($E12&gt;='Launch flag &amp; Life-Cycle Factor'!$F$17, $E12&lt;='Launch flag &amp; Life-Cycle Factor'!$E$17),'Launch flag &amp; Life-Cycle Factor'!$B$17, IF(AND($E12&gt;='Launch flag &amp; Life-Cycle Factor'!$F$16, $E12&lt;='Launch flag &amp; Life-Cycle Factor'!$E$16),'Launch flag &amp; Life-Cycle Factor'!$B$16,IF(AND($E12&gt;='Launch flag &amp; Life-Cycle Factor'!$F$15, $E12&lt;='Launch flag &amp; Life-Cycle Factor'!$E$15),'Launch flag &amp; Life-Cycle Factor'!$B$15, IF(AND($E12&gt;='Launch flag &amp; Life-Cycle Factor'!$F$14, $E12&lt;='Launch flag &amp; Life-Cycle Factor'!$E$14),'Launch flag &amp; Life-Cycle Factor'!$B$14,IF(AND($E12&gt;='Launch flag &amp; Life-Cycle Factor'!$F$13, $E12&lt;='Launch flag &amp; Life-Cycle Factor'!$E$13),'Launch flag &amp; Life-Cycle Factor'!$B$13, IF(AND($E12&gt;='Launch flag &amp; Life-Cycle Factor'!$F$12, $E12&lt;='Launch flag &amp; Life-Cycle Factor'!$E$12),'Launch flag &amp; Life-Cycle Factor'!$B$12, IF(AND($E12&gt;='Launch flag &amp; Life-Cycle Factor'!$F$11, $E12&lt;='Launch flag &amp; Life-Cycle Factor'!$E$11),'Launch flag &amp; Life-Cycle Factor'!$B$11, IF(AND($E12&gt;='Launch flag &amp; Life-Cycle Factor'!$F$10, $E12&lt;='Launch flag &amp; Life-Cycle Factor'!$E$10),'Launch flag &amp; Life-Cycle Factor'!$B$10, IF(AND($E12&gt;='Launch flag &amp; Life-Cycle Factor'!$F$9, $E12&lt;='Launch flag &amp; Life-Cycle Factor'!$E$9),'Launch flag &amp; Life-Cycle Factor'!$B$9, IF(AND($E12&gt;='Launch flag &amp; Life-Cycle Factor'!$F$8, $E12&lt;='Launch flag &amp; Life-Cycle Factor'!$E$8),'Launch flag &amp; Life-Cycle Factor'!$B$8, IF(AND($E12&gt;='Launch flag &amp; Life-Cycle Factor'!$F$7, $E12&lt;='Launch flag &amp; Life-Cycle Factor'!$E$7),'Launch flag &amp; Life-Cycle Factor'!$B$7, IF(AND($E12&gt;='Launch flag &amp; Life-Cycle Factor'!$F$6, $E12&lt;='Launch flag &amp; Life-Cycle Factor'!$E$6),'Launch flag &amp; Life-Cycle Factor'!$B$6, "-")))))))))))))))))))</f>
        <v>Mature</v>
      </c>
      <c r="E12" s="849">
        <f>INDEX('NPS with launch Dates '!$J$6:$J$59,MATCH('2.  Sales Data Key &amp; Key-Lyn'!$C12,'NPS with launch Dates '!$I$6:$I$59,0))</f>
        <v>43101</v>
      </c>
      <c r="F12" s="850">
        <f>INDEX('Raw Sales Forecasting Data'!$D$11:$H$126,MATCH('2.  Sales Data Key &amp; Key-Lyn'!$C12,'Raw Sales Forecasting Data'!$C$11:$C$126,0),MATCH('2.  Sales Data Key &amp; Key-Lyn'!F$6,'Raw Sales Forecasting Data'!$D$10:$H$10,0))</f>
        <v>0</v>
      </c>
      <c r="G12" s="851">
        <f>INDEX('Raw Sales Forecasting Data'!$D$11:$H$126,MATCH('2.  Sales Data Key &amp; Key-Lyn'!$C12,'Raw Sales Forecasting Data'!$C$11:$C$126,0),MATCH('2.  Sales Data Key &amp; Key-Lyn'!G$6,'Raw Sales Forecasting Data'!$D$10:$H$10,0))</f>
        <v>0</v>
      </c>
      <c r="H12" s="851">
        <f>INDEX('Raw Sales Forecasting Data'!$D$11:$H$126,MATCH('2.  Sales Data Key &amp; Key-Lyn'!$C12,'Raw Sales Forecasting Data'!$C$11:$C$126,0),MATCH('2.  Sales Data Key &amp; Key-Lyn'!H$6,'Raw Sales Forecasting Data'!$D$10:$H$10,0))</f>
        <v>0</v>
      </c>
      <c r="I12" s="851">
        <f>INDEX('Raw Sales Forecasting Data'!$D$11:$H$126,MATCH('2.  Sales Data Key &amp; Key-Lyn'!$C12,'Raw Sales Forecasting Data'!$C$11:$C$126,0),MATCH('2.  Sales Data Key &amp; Key-Lyn'!I$6,'Raw Sales Forecasting Data'!$D$10:$H$10,0))</f>
        <v>0</v>
      </c>
      <c r="J12" s="852">
        <f>INDEX('Raw Sales Forecasting Data'!$D$11:$H$126,MATCH('2.  Sales Data Key &amp; Key-Lyn'!$C12,'Raw Sales Forecasting Data'!$C$11:$C$126,0),MATCH('2.  Sales Data Key &amp; Key-Lyn'!J$6,'Raw Sales Forecasting Data'!$D$10:$H$10,0))</f>
        <v>0</v>
      </c>
      <c r="K12" s="853">
        <f>INDEX('Raw Sales Forecasting Data'!$J$11:$N$126,MATCH('2.  Sales Data Key &amp; Key-Lyn'!$C12,'Raw Sales Forecasting Data'!$C$11:$C$126,0),MATCH('2.  Sales Data Key &amp; Key-Lyn'!K$6,'Raw Sales Forecasting Data'!$J$10:$N$10,0))</f>
        <v>0</v>
      </c>
      <c r="L12" s="851">
        <f>INDEX('Raw Sales Forecasting Data'!$J$11:$N$126,MATCH('2.  Sales Data Key &amp; Key-Lyn'!$C12,'Raw Sales Forecasting Data'!$C$11:$C$126,0),MATCH('2.  Sales Data Key &amp; Key-Lyn'!L$6,'Raw Sales Forecasting Data'!$J$10:$N$10,0))</f>
        <v>0</v>
      </c>
      <c r="M12" s="851">
        <f>INDEX('Raw Sales Forecasting Data'!$J$11:$N$126,MATCH('2.  Sales Data Key &amp; Key-Lyn'!$C12,'Raw Sales Forecasting Data'!$C$11:$C$126,0),MATCH('2.  Sales Data Key &amp; Key-Lyn'!M$6,'Raw Sales Forecasting Data'!$J$10:$N$10,0))</f>
        <v>0</v>
      </c>
      <c r="N12" s="851">
        <f>INDEX('Raw Sales Forecasting Data'!$J$11:$N$126,MATCH('2.  Sales Data Key &amp; Key-Lyn'!$C12,'Raw Sales Forecasting Data'!$C$11:$C$126,0),MATCH('2.  Sales Data Key &amp; Key-Lyn'!N$6,'Raw Sales Forecasting Data'!$J$10:$N$10,0))</f>
        <v>0</v>
      </c>
      <c r="O12" s="854">
        <f>INDEX('Raw Sales Forecasting Data'!$J$11:$N$126,MATCH('2.  Sales Data Key &amp; Key-Lyn'!$C12,'Raw Sales Forecasting Data'!$C$11:$C$126,0),MATCH('2.  Sales Data Key &amp; Key-Lyn'!O$6,'Raw Sales Forecasting Data'!$J$10:$N$10,0))</f>
        <v>0</v>
      </c>
      <c r="P12" s="855">
        <f>IF(AND($E12&gt;='Launch flag &amp; Life-Cycle Factor'!$F$24, $E12&lt;='Launch flag &amp; Life-Cycle Factor'!$E$24),'Launch flag &amp; Life-Cycle Factor'!$H$24, IF(AND($E12&gt;='Launch flag &amp; Life-Cycle Factor'!$F$23, $E12&lt;='Launch flag &amp; Life-Cycle Factor'!$E$23),'Launch flag &amp; Life-Cycle Factor'!$H$23, IF(AND($E12&gt;='Launch flag &amp; Life-Cycle Factor'!$F$22, $E12&lt;='Launch flag &amp; Life-Cycle Factor'!$E$22),'Launch flag &amp; Life-Cycle Factor'!$H$22, IF(AND($E12&gt;='Launch flag &amp; Life-Cycle Factor'!$F$21, $E12&lt;='Launch flag &amp; Life-Cycle Factor'!$E$21),'Launch flag &amp; Life-Cycle Factor'!$H$21, IF(AND($E12&gt;='Launch flag &amp; Life-Cycle Factor'!$F$20, $E12&lt;='Launch flag &amp; Life-Cycle Factor'!$E$20),'Launch flag &amp; Life-Cycle Factor'!$H$20, IF(AND($E12&gt;='Launch flag &amp; Life-Cycle Factor'!$F$19, $E12&lt;='Launch flag &amp; Life-Cycle Factor'!$E$19),'Launch flag &amp; Life-Cycle Factor'!$H$19, IF(AND($E12&gt;='Launch flag &amp; Life-Cycle Factor'!$F$18, $E12&lt;='Launch flag &amp; Life-Cycle Factor'!$E$18),'Launch flag &amp; Life-Cycle Factor'!$H$18, IF(AND($E12&gt;='Launch flag &amp; Life-Cycle Factor'!$F$17, $E12&lt;='Launch flag &amp; Life-Cycle Factor'!$E$17),'Launch flag &amp; Life-Cycle Factor'!$H$17, IF(AND($E12&gt;='Launch flag &amp; Life-Cycle Factor'!$F$16, $E12&lt;='Launch flag &amp; Life-Cycle Factor'!$E$16),'Launch flag &amp; Life-Cycle Factor'!$H$16,IF(AND($E12&gt;='Launch flag &amp; Life-Cycle Factor'!$F$15, $E12&lt;='Launch flag &amp; Life-Cycle Factor'!$E$15),'Launch flag &amp; Life-Cycle Factor'!$H$15, IF(AND($E12&gt;='Launch flag &amp; Life-Cycle Factor'!$F$14, $E12&lt;='Launch flag &amp; Life-Cycle Factor'!$E$14),'Launch flag &amp; Life-Cycle Factor'!$H$14,IF(AND($E12&gt;='Launch flag &amp; Life-Cycle Factor'!$F$13, $E12&lt;='Launch flag &amp; Life-Cycle Factor'!$E$13),'Launch flag &amp; Life-Cycle Factor'!$H$13, IF(AND($E12&gt;='Launch flag &amp; Life-Cycle Factor'!$F$12, $E12&lt;='Launch flag &amp; Life-Cycle Factor'!$E$12),'Launch flag &amp; Life-Cycle Factor'!$H$12, IF(AND($E12&gt;='Launch flag &amp; Life-Cycle Factor'!$F$11, $E12&lt;='Launch flag &amp; Life-Cycle Factor'!$E$11),'Launch flag &amp; Life-Cycle Factor'!$H$11, IF(AND($E12&gt;='Launch flag &amp; Life-Cycle Factor'!$F$10, $E12&lt;='Launch flag &amp; Life-Cycle Factor'!$E$10),'Launch flag &amp; Life-Cycle Factor'!$H$10, IF(AND($E12&gt;='Launch flag &amp; Life-Cycle Factor'!$F$9, $E12&lt;='Launch flag &amp; Life-Cycle Factor'!$E$9),'Launch flag &amp; Life-Cycle Factor'!$H$9, IF(AND($E12&gt;='Launch flag &amp; Life-Cycle Factor'!$F$8, $E12&lt;='Launch flag &amp; Life-Cycle Factor'!$E$8),'Launch flag &amp; Life-Cycle Factor'!$H$8, IF(AND($E12&gt;='Launch flag &amp; Life-Cycle Factor'!$F$7, $E12&lt;='Launch flag &amp; Life-Cycle Factor'!$E$7),'Launch flag &amp; Life-Cycle Factor'!$H$7, IF(AND($E12&gt;='Launch flag &amp; Life-Cycle Factor'!$F$6, $E12&lt;='Launch flag &amp; Life-Cycle Factor'!$E$6),'Launch flag &amp; Life-Cycle Factor'!$H$6, "-")))))))))))))))))))</f>
        <v>0.65</v>
      </c>
      <c r="Q12" s="856">
        <f>IF(AND($E12&gt;='Launch flag &amp; Life-Cycle Factor'!$F$24, $E12&lt;='Launch flag &amp; Life-Cycle Factor'!$E$24),'Launch flag &amp; Life-Cycle Factor'!$I$24, IF(AND($E12&gt;='Launch flag &amp; Life-Cycle Factor'!$F$23, $E12&lt;='Launch flag &amp; Life-Cycle Factor'!$E$23),'Launch flag &amp; Life-Cycle Factor'!$I$23, IF(AND($E12&gt;='Launch flag &amp; Life-Cycle Factor'!$F$22, $E12&lt;='Launch flag &amp; Life-Cycle Factor'!$E$22),'Launch flag &amp; Life-Cycle Factor'!$I$22, IF(AND($E12&gt;='Launch flag &amp; Life-Cycle Factor'!$F$21, $E12&lt;='Launch flag &amp; Life-Cycle Factor'!$E$21),'Launch flag &amp; Life-Cycle Factor'!$I$21, IF(AND($E12&gt;='Launch flag &amp; Life-Cycle Factor'!$F$20, $E12&lt;='Launch flag &amp; Life-Cycle Factor'!$E$20),'Launch flag &amp; Life-Cycle Factor'!$I$20, IF(AND($E12&gt;='Launch flag &amp; Life-Cycle Factor'!$F$19, $E12&lt;='Launch flag &amp; Life-Cycle Factor'!$E$19),'Launch flag &amp; Life-Cycle Factor'!$I$19, IF(AND($E12&gt;='Launch flag &amp; Life-Cycle Factor'!$F$18, $E12&lt;='Launch flag &amp; Life-Cycle Factor'!$E$18),'Launch flag &amp; Life-Cycle Factor'!$I$18, IF(AND($E12&gt;='Launch flag &amp; Life-Cycle Factor'!$F$17, $E12&lt;='Launch flag &amp; Life-Cycle Factor'!$E$17),'Launch flag &amp; Life-Cycle Factor'!$I$17, IF(AND($E12&gt;='Launch flag &amp; Life-Cycle Factor'!$F$16, $E12&lt;='Launch flag &amp; Life-Cycle Factor'!$E$16),'Launch flag &amp; Life-Cycle Factor'!$I$16,IF(AND($E12&gt;='Launch flag &amp; Life-Cycle Factor'!$F$15, $E12&lt;='Launch flag &amp; Life-Cycle Factor'!$E$15),'Launch flag &amp; Life-Cycle Factor'!$I$15, IF(AND($E12&gt;='Launch flag &amp; Life-Cycle Factor'!$F$14, $E12&lt;='Launch flag &amp; Life-Cycle Factor'!$E$14),'Launch flag &amp; Life-Cycle Factor'!$I$14,IF(AND($E12&gt;='Launch flag &amp; Life-Cycle Factor'!$F$13, $E12&lt;='Launch flag &amp; Life-Cycle Factor'!$E$13),'Launch flag &amp; Life-Cycle Factor'!$I$13, IF(AND($E12&gt;='Launch flag &amp; Life-Cycle Factor'!$F$12, $E12&lt;='Launch flag &amp; Life-Cycle Factor'!$E$12),'Launch flag &amp; Life-Cycle Factor'!$I$12, IF(AND($E12&gt;='Launch flag &amp; Life-Cycle Factor'!$F$11, $E12&lt;='Launch flag &amp; Life-Cycle Factor'!$E$11),'Launch flag &amp; Life-Cycle Factor'!$I$11, IF(AND($E12&gt;='Launch flag &amp; Life-Cycle Factor'!$F$10, $E12&lt;='Launch flag &amp; Life-Cycle Factor'!$E$10),'Launch flag &amp; Life-Cycle Factor'!$I$10, IF(AND($E12&gt;='Launch flag &amp; Life-Cycle Factor'!$F$9, $E12&lt;='Launch flag &amp; Life-Cycle Factor'!$E$9),'Launch flag &amp; Life-Cycle Factor'!$I$9, IF(AND($E12&gt;='Launch flag &amp; Life-Cycle Factor'!$F$8, $E12&lt;='Launch flag &amp; Life-Cycle Factor'!$E$8),'Launch flag &amp; Life-Cycle Factor'!$I$8, IF(AND($E12&gt;='Launch flag &amp; Life-Cycle Factor'!$F$7, $E12&lt;='Launch flag &amp; Life-Cycle Factor'!$E$7),'Launch flag &amp; Life-Cycle Factor'!$I$7, IF(AND($E12&gt;='Launch flag &amp; Life-Cycle Factor'!$F$6, $E12&lt;='Launch flag &amp; Life-Cycle Factor'!$E$6),'Launch flag &amp; Life-Cycle Factor'!$I$6, "-")))))))))))))))))))</f>
        <v>0.35</v>
      </c>
      <c r="R12" s="857">
        <f t="shared" si="0"/>
        <v>0</v>
      </c>
      <c r="S12" s="858">
        <f t="shared" si="1"/>
        <v>0</v>
      </c>
      <c r="T12" s="859">
        <f t="shared" si="2"/>
        <v>0</v>
      </c>
      <c r="U12" s="860">
        <f t="shared" si="3"/>
        <v>0</v>
      </c>
      <c r="V12" s="861">
        <f t="shared" si="4"/>
        <v>0</v>
      </c>
      <c r="W12" s="862">
        <f t="shared" si="5"/>
        <v>0</v>
      </c>
      <c r="X12" s="846" t="s">
        <v>1178</v>
      </c>
    </row>
    <row r="13" spans="2:24" x14ac:dyDescent="0.35">
      <c r="B13" s="186" t="s">
        <v>43</v>
      </c>
      <c r="C13" s="192" t="s">
        <v>64</v>
      </c>
      <c r="D13" s="206" t="str">
        <f>IF(AND($E13&gt;='Launch flag &amp; Life-Cycle Factor'!$F$24, $E13&lt;='Launch flag &amp; Life-Cycle Factor'!$E$24),'Launch flag &amp; Life-Cycle Factor'!$B$24, IF(AND($E13&gt;='Launch flag &amp; Life-Cycle Factor'!$F$23, $E13&lt;='Launch flag &amp; Life-Cycle Factor'!$E$23),'Launch flag &amp; Life-Cycle Factor'!$B$23, IF(AND($E13&gt;='Launch flag &amp; Life-Cycle Factor'!$F$22, $E13&lt;='Launch flag &amp; Life-Cycle Factor'!$E$22),'Launch flag &amp; Life-Cycle Factor'!$B$22, IF(AND($E13&gt;='Launch flag &amp; Life-Cycle Factor'!$F$21, $E13&lt;='Launch flag &amp; Life-Cycle Factor'!$E$21),'Launch flag &amp; Life-Cycle Factor'!$B$21, IF(AND($E13&gt;='Launch flag &amp; Life-Cycle Factor'!$F$20, $E13&lt;='Launch flag &amp; Life-Cycle Factor'!$E$20),'Launch flag &amp; Life-Cycle Factor'!$B$20, IF(AND($E13&gt;='Launch flag &amp; Life-Cycle Factor'!$F$19, $E13&lt;='Launch flag &amp; Life-Cycle Factor'!$E$19),'Launch flag &amp; Life-Cycle Factor'!$B$19, IF(AND($E13&gt;='Launch flag &amp; Life-Cycle Factor'!$F$18, $E13&lt;='Launch flag &amp; Life-Cycle Factor'!$E$18),'Launch flag &amp; Life-Cycle Factor'!$B$18, IF(AND($E13&gt;='Launch flag &amp; Life-Cycle Factor'!$F$17, $E13&lt;='Launch flag &amp; Life-Cycle Factor'!$E$17),'Launch flag &amp; Life-Cycle Factor'!$B$17, IF(AND($E13&gt;='Launch flag &amp; Life-Cycle Factor'!$F$16, $E13&lt;='Launch flag &amp; Life-Cycle Factor'!$E$16),'Launch flag &amp; Life-Cycle Factor'!$B$16,IF(AND($E13&gt;='Launch flag &amp; Life-Cycle Factor'!$F$15, $E13&lt;='Launch flag &amp; Life-Cycle Factor'!$E$15),'Launch flag &amp; Life-Cycle Factor'!$B$15, IF(AND($E13&gt;='Launch flag &amp; Life-Cycle Factor'!$F$14, $E13&lt;='Launch flag &amp; Life-Cycle Factor'!$E$14),'Launch flag &amp; Life-Cycle Factor'!$B$14,IF(AND($E13&gt;='Launch flag &amp; Life-Cycle Factor'!$F$13, $E13&lt;='Launch flag &amp; Life-Cycle Factor'!$E$13),'Launch flag &amp; Life-Cycle Factor'!$B$13, IF(AND($E13&gt;='Launch flag &amp; Life-Cycle Factor'!$F$12, $E13&lt;='Launch flag &amp; Life-Cycle Factor'!$E$12),'Launch flag &amp; Life-Cycle Factor'!$B$12, IF(AND($E13&gt;='Launch flag &amp; Life-Cycle Factor'!$F$11, $E13&lt;='Launch flag &amp; Life-Cycle Factor'!$E$11),'Launch flag &amp; Life-Cycle Factor'!$B$11, IF(AND($E13&gt;='Launch flag &amp; Life-Cycle Factor'!$F$10, $E13&lt;='Launch flag &amp; Life-Cycle Factor'!$E$10),'Launch flag &amp; Life-Cycle Factor'!$B$10, IF(AND($E13&gt;='Launch flag &amp; Life-Cycle Factor'!$F$9, $E13&lt;='Launch flag &amp; Life-Cycle Factor'!$E$9),'Launch flag &amp; Life-Cycle Factor'!$B$9, IF(AND($E13&gt;='Launch flag &amp; Life-Cycle Factor'!$F$8, $E13&lt;='Launch flag &amp; Life-Cycle Factor'!$E$8),'Launch flag &amp; Life-Cycle Factor'!$B$8, IF(AND($E13&gt;='Launch flag &amp; Life-Cycle Factor'!$F$7, $E13&lt;='Launch flag &amp; Life-Cycle Factor'!$E$7),'Launch flag &amp; Life-Cycle Factor'!$B$7, IF(AND($E13&gt;='Launch flag &amp; Life-Cycle Factor'!$F$6, $E13&lt;='Launch flag &amp; Life-Cycle Factor'!$E$6),'Launch flag &amp; Life-Cycle Factor'!$B$6, "-")))))))))))))))))))</f>
        <v>Mature</v>
      </c>
      <c r="E13" s="219">
        <f>INDEX('NPS with launch Dates '!$J$6:$J$59,MATCH('2.  Sales Data Key &amp; Key-Lyn'!$C13,'NPS with launch Dates '!$I$6:$I$59,0))</f>
        <v>43984</v>
      </c>
      <c r="F13" s="197">
        <f>INDEX('Raw Sales Forecasting Data'!$D$11:$H$126,MATCH('2.  Sales Data Key &amp; Key-Lyn'!$C13,'Raw Sales Forecasting Data'!$C$11:$C$126,0),MATCH('2.  Sales Data Key &amp; Key-Lyn'!F$6,'Raw Sales Forecasting Data'!$D$10:$H$10,0))</f>
        <v>108.02771693546214</v>
      </c>
      <c r="G13" s="198">
        <f>INDEX('Raw Sales Forecasting Data'!$D$11:$H$126,MATCH('2.  Sales Data Key &amp; Key-Lyn'!$C13,'Raw Sales Forecasting Data'!$C$11:$C$126,0),MATCH('2.  Sales Data Key &amp; Key-Lyn'!G$6,'Raw Sales Forecasting Data'!$D$10:$H$10,0))</f>
        <v>117.01515761022613</v>
      </c>
      <c r="H13" s="198">
        <f>INDEX('Raw Sales Forecasting Data'!$D$11:$H$126,MATCH('2.  Sales Data Key &amp; Key-Lyn'!$C13,'Raw Sales Forecasting Data'!$C$11:$C$126,0),MATCH('2.  Sales Data Key &amp; Key-Lyn'!H$6,'Raw Sales Forecasting Data'!$D$10:$H$10,0))</f>
        <v>119.97676465947484</v>
      </c>
      <c r="I13" s="198">
        <f>INDEX('Raw Sales Forecasting Data'!$D$11:$H$126,MATCH('2.  Sales Data Key &amp; Key-Lyn'!$C13,'Raw Sales Forecasting Data'!$C$11:$C$126,0),MATCH('2.  Sales Data Key &amp; Key-Lyn'!I$6,'Raw Sales Forecasting Data'!$D$10:$H$10,0))</f>
        <v>161.15632801428697</v>
      </c>
      <c r="J13" s="199">
        <f>INDEX('Raw Sales Forecasting Data'!$D$11:$H$126,MATCH('2.  Sales Data Key &amp; Key-Lyn'!$C13,'Raw Sales Forecasting Data'!$C$11:$C$126,0),MATCH('2.  Sales Data Key &amp; Key-Lyn'!J$6,'Raw Sales Forecasting Data'!$D$10:$H$10,0))</f>
        <v>242.5310212930504</v>
      </c>
      <c r="K13" s="203">
        <f>INDEX('Raw Sales Forecasting Data'!$J$11:$N$126,MATCH('2.  Sales Data Key &amp; Key-Lyn'!$C13,'Raw Sales Forecasting Data'!$C$11:$C$126,0),MATCH('2.  Sales Data Key &amp; Key-Lyn'!K$6,'Raw Sales Forecasting Data'!$J$10:$N$10,0))</f>
        <v>108.02771693546214</v>
      </c>
      <c r="L13" s="198">
        <f>INDEX('Raw Sales Forecasting Data'!$J$11:$N$126,MATCH('2.  Sales Data Key &amp; Key-Lyn'!$C13,'Raw Sales Forecasting Data'!$C$11:$C$126,0),MATCH('2.  Sales Data Key &amp; Key-Lyn'!L$6,'Raw Sales Forecasting Data'!$J$10:$N$10,0))</f>
        <v>117.01515761022613</v>
      </c>
      <c r="M13" s="198">
        <f>INDEX('Raw Sales Forecasting Data'!$J$11:$N$126,MATCH('2.  Sales Data Key &amp; Key-Lyn'!$C13,'Raw Sales Forecasting Data'!$C$11:$C$126,0),MATCH('2.  Sales Data Key &amp; Key-Lyn'!M$6,'Raw Sales Forecasting Data'!$J$10:$N$10,0))</f>
        <v>119.97676465947484</v>
      </c>
      <c r="N13" s="198">
        <f>INDEX('Raw Sales Forecasting Data'!$J$11:$N$126,MATCH('2.  Sales Data Key &amp; Key-Lyn'!$C13,'Raw Sales Forecasting Data'!$C$11:$C$126,0),MATCH('2.  Sales Data Key &amp; Key-Lyn'!N$6,'Raw Sales Forecasting Data'!$J$10:$N$10,0))</f>
        <v>161.15632801428697</v>
      </c>
      <c r="O13" s="238">
        <f>INDEX('Raw Sales Forecasting Data'!$J$11:$N$126,MATCH('2.  Sales Data Key &amp; Key-Lyn'!$C13,'Raw Sales Forecasting Data'!$C$11:$C$126,0),MATCH('2.  Sales Data Key &amp; Key-Lyn'!O$6,'Raw Sales Forecasting Data'!$J$10:$N$10,0))</f>
        <v>242.5310212930504</v>
      </c>
      <c r="P13" s="240">
        <f>IF(AND($E13&gt;='Launch flag &amp; Life-Cycle Factor'!$F$24, $E13&lt;='Launch flag &amp; Life-Cycle Factor'!$E$24),'Launch flag &amp; Life-Cycle Factor'!$H$24, IF(AND($E13&gt;='Launch flag &amp; Life-Cycle Factor'!$F$23, $E13&lt;='Launch flag &amp; Life-Cycle Factor'!$E$23),'Launch flag &amp; Life-Cycle Factor'!$H$23, IF(AND($E13&gt;='Launch flag &amp; Life-Cycle Factor'!$F$22, $E13&lt;='Launch flag &amp; Life-Cycle Factor'!$E$22),'Launch flag &amp; Life-Cycle Factor'!$H$22, IF(AND($E13&gt;='Launch flag &amp; Life-Cycle Factor'!$F$21, $E13&lt;='Launch flag &amp; Life-Cycle Factor'!$E$21),'Launch flag &amp; Life-Cycle Factor'!$H$21, IF(AND($E13&gt;='Launch flag &amp; Life-Cycle Factor'!$F$20, $E13&lt;='Launch flag &amp; Life-Cycle Factor'!$E$20),'Launch flag &amp; Life-Cycle Factor'!$H$20, IF(AND($E13&gt;='Launch flag &amp; Life-Cycle Factor'!$F$19, $E13&lt;='Launch flag &amp; Life-Cycle Factor'!$E$19),'Launch flag &amp; Life-Cycle Factor'!$H$19, IF(AND($E13&gt;='Launch flag &amp; Life-Cycle Factor'!$F$18, $E13&lt;='Launch flag &amp; Life-Cycle Factor'!$E$18),'Launch flag &amp; Life-Cycle Factor'!$H$18, IF(AND($E13&gt;='Launch flag &amp; Life-Cycle Factor'!$F$17, $E13&lt;='Launch flag &amp; Life-Cycle Factor'!$E$17),'Launch flag &amp; Life-Cycle Factor'!$H$17, IF(AND($E13&gt;='Launch flag &amp; Life-Cycle Factor'!$F$16, $E13&lt;='Launch flag &amp; Life-Cycle Factor'!$E$16),'Launch flag &amp; Life-Cycle Factor'!$H$16,IF(AND($E13&gt;='Launch flag &amp; Life-Cycle Factor'!$F$15, $E13&lt;='Launch flag &amp; Life-Cycle Factor'!$E$15),'Launch flag &amp; Life-Cycle Factor'!$H$15, IF(AND($E13&gt;='Launch flag &amp; Life-Cycle Factor'!$F$14, $E13&lt;='Launch flag &amp; Life-Cycle Factor'!$E$14),'Launch flag &amp; Life-Cycle Factor'!$H$14,IF(AND($E13&gt;='Launch flag &amp; Life-Cycle Factor'!$F$13, $E13&lt;='Launch flag &amp; Life-Cycle Factor'!$E$13),'Launch flag &amp; Life-Cycle Factor'!$H$13, IF(AND($E13&gt;='Launch flag &amp; Life-Cycle Factor'!$F$12, $E13&lt;='Launch flag &amp; Life-Cycle Factor'!$E$12),'Launch flag &amp; Life-Cycle Factor'!$H$12, IF(AND($E13&gt;='Launch flag &amp; Life-Cycle Factor'!$F$11, $E13&lt;='Launch flag &amp; Life-Cycle Factor'!$E$11),'Launch flag &amp; Life-Cycle Factor'!$H$11, IF(AND($E13&gt;='Launch flag &amp; Life-Cycle Factor'!$F$10, $E13&lt;='Launch flag &amp; Life-Cycle Factor'!$E$10),'Launch flag &amp; Life-Cycle Factor'!$H$10, IF(AND($E13&gt;='Launch flag &amp; Life-Cycle Factor'!$F$9, $E13&lt;='Launch flag &amp; Life-Cycle Factor'!$E$9),'Launch flag &amp; Life-Cycle Factor'!$H$9, IF(AND($E13&gt;='Launch flag &amp; Life-Cycle Factor'!$F$8, $E13&lt;='Launch flag &amp; Life-Cycle Factor'!$E$8),'Launch flag &amp; Life-Cycle Factor'!$H$8, IF(AND($E13&gt;='Launch flag &amp; Life-Cycle Factor'!$F$7, $E13&lt;='Launch flag &amp; Life-Cycle Factor'!$E$7),'Launch flag &amp; Life-Cycle Factor'!$H$7, IF(AND($E13&gt;='Launch flag &amp; Life-Cycle Factor'!$F$6, $E13&lt;='Launch flag &amp; Life-Cycle Factor'!$E$6),'Launch flag &amp; Life-Cycle Factor'!$H$6, "-")))))))))))))))))))</f>
        <v>0.65</v>
      </c>
      <c r="Q13" s="655">
        <f>IF(AND($E13&gt;='Launch flag &amp; Life-Cycle Factor'!$F$24, $E13&lt;='Launch flag &amp; Life-Cycle Factor'!$E$24),'Launch flag &amp; Life-Cycle Factor'!$I$24, IF(AND($E13&gt;='Launch flag &amp; Life-Cycle Factor'!$F$23, $E13&lt;='Launch flag &amp; Life-Cycle Factor'!$E$23),'Launch flag &amp; Life-Cycle Factor'!$I$23, IF(AND($E13&gt;='Launch flag &amp; Life-Cycle Factor'!$F$22, $E13&lt;='Launch flag &amp; Life-Cycle Factor'!$E$22),'Launch flag &amp; Life-Cycle Factor'!$I$22, IF(AND($E13&gt;='Launch flag &amp; Life-Cycle Factor'!$F$21, $E13&lt;='Launch flag &amp; Life-Cycle Factor'!$E$21),'Launch flag &amp; Life-Cycle Factor'!$I$21, IF(AND($E13&gt;='Launch flag &amp; Life-Cycle Factor'!$F$20, $E13&lt;='Launch flag &amp; Life-Cycle Factor'!$E$20),'Launch flag &amp; Life-Cycle Factor'!$I$20, IF(AND($E13&gt;='Launch flag &amp; Life-Cycle Factor'!$F$19, $E13&lt;='Launch flag &amp; Life-Cycle Factor'!$E$19),'Launch flag &amp; Life-Cycle Factor'!$I$19, IF(AND($E13&gt;='Launch flag &amp; Life-Cycle Factor'!$F$18, $E13&lt;='Launch flag &amp; Life-Cycle Factor'!$E$18),'Launch flag &amp; Life-Cycle Factor'!$I$18, IF(AND($E13&gt;='Launch flag &amp; Life-Cycle Factor'!$F$17, $E13&lt;='Launch flag &amp; Life-Cycle Factor'!$E$17),'Launch flag &amp; Life-Cycle Factor'!$I$17, IF(AND($E13&gt;='Launch flag &amp; Life-Cycle Factor'!$F$16, $E13&lt;='Launch flag &amp; Life-Cycle Factor'!$E$16),'Launch flag &amp; Life-Cycle Factor'!$I$16,IF(AND($E13&gt;='Launch flag &amp; Life-Cycle Factor'!$F$15, $E13&lt;='Launch flag &amp; Life-Cycle Factor'!$E$15),'Launch flag &amp; Life-Cycle Factor'!$I$15, IF(AND($E13&gt;='Launch flag &amp; Life-Cycle Factor'!$F$14, $E13&lt;='Launch flag &amp; Life-Cycle Factor'!$E$14),'Launch flag &amp; Life-Cycle Factor'!$I$14,IF(AND($E13&gt;='Launch flag &amp; Life-Cycle Factor'!$F$13, $E13&lt;='Launch flag &amp; Life-Cycle Factor'!$E$13),'Launch flag &amp; Life-Cycle Factor'!$I$13, IF(AND($E13&gt;='Launch flag &amp; Life-Cycle Factor'!$F$12, $E13&lt;='Launch flag &amp; Life-Cycle Factor'!$E$12),'Launch flag &amp; Life-Cycle Factor'!$I$12, IF(AND($E13&gt;='Launch flag &amp; Life-Cycle Factor'!$F$11, $E13&lt;='Launch flag &amp; Life-Cycle Factor'!$E$11),'Launch flag &amp; Life-Cycle Factor'!$I$11, IF(AND($E13&gt;='Launch flag &amp; Life-Cycle Factor'!$F$10, $E13&lt;='Launch flag &amp; Life-Cycle Factor'!$E$10),'Launch flag &amp; Life-Cycle Factor'!$I$10, IF(AND($E13&gt;='Launch flag &amp; Life-Cycle Factor'!$F$9, $E13&lt;='Launch flag &amp; Life-Cycle Factor'!$E$9),'Launch flag &amp; Life-Cycle Factor'!$I$9, IF(AND($E13&gt;='Launch flag &amp; Life-Cycle Factor'!$F$8, $E13&lt;='Launch flag &amp; Life-Cycle Factor'!$E$8),'Launch flag &amp; Life-Cycle Factor'!$I$8, IF(AND($E13&gt;='Launch flag &amp; Life-Cycle Factor'!$F$7, $E13&lt;='Launch flag &amp; Life-Cycle Factor'!$E$7),'Launch flag &amp; Life-Cycle Factor'!$I$7, IF(AND($E13&gt;='Launch flag &amp; Life-Cycle Factor'!$F$6, $E13&lt;='Launch flag &amp; Life-Cycle Factor'!$E$6),'Launch flag &amp; Life-Cycle Factor'!$I$6, "-")))))))))))))))))))</f>
        <v>0.35</v>
      </c>
      <c r="R13" s="662">
        <f t="shared" si="0"/>
        <v>76.059852446646985</v>
      </c>
      <c r="S13" s="663">
        <f t="shared" si="1"/>
        <v>41.991867630816188</v>
      </c>
      <c r="T13" s="242">
        <f t="shared" si="2"/>
        <v>76.059852446646985</v>
      </c>
      <c r="U13" s="243">
        <f t="shared" si="3"/>
        <v>41.991867630816188</v>
      </c>
      <c r="V13" s="837">
        <f t="shared" si="4"/>
        <v>118.05172007746317</v>
      </c>
      <c r="W13" s="838">
        <f t="shared" si="5"/>
        <v>118.05172007746317</v>
      </c>
      <c r="X13" s="672"/>
    </row>
    <row r="14" spans="2:24" x14ac:dyDescent="0.35">
      <c r="B14" s="186" t="s">
        <v>43</v>
      </c>
      <c r="C14" s="192" t="s">
        <v>77</v>
      </c>
      <c r="D14" s="206" t="str">
        <f>IF(AND($E14&gt;='Launch flag &amp; Life-Cycle Factor'!$F$24, $E14&lt;='Launch flag &amp; Life-Cycle Factor'!$E$24),'Launch flag &amp; Life-Cycle Factor'!$B$24, IF(AND($E14&gt;='Launch flag &amp; Life-Cycle Factor'!$F$23, $E14&lt;='Launch flag &amp; Life-Cycle Factor'!$E$23),'Launch flag &amp; Life-Cycle Factor'!$B$23, IF(AND($E14&gt;='Launch flag &amp; Life-Cycle Factor'!$F$22, $E14&lt;='Launch flag &amp; Life-Cycle Factor'!$E$22),'Launch flag &amp; Life-Cycle Factor'!$B$22, IF(AND($E14&gt;='Launch flag &amp; Life-Cycle Factor'!$F$21, $E14&lt;='Launch flag &amp; Life-Cycle Factor'!$E$21),'Launch flag &amp; Life-Cycle Factor'!$B$21, IF(AND($E14&gt;='Launch flag &amp; Life-Cycle Factor'!$F$20, $E14&lt;='Launch flag &amp; Life-Cycle Factor'!$E$20),'Launch flag &amp; Life-Cycle Factor'!$B$20, IF(AND($E14&gt;='Launch flag &amp; Life-Cycle Factor'!$F$19, $E14&lt;='Launch flag &amp; Life-Cycle Factor'!$E$19),'Launch flag &amp; Life-Cycle Factor'!$B$19, IF(AND($E14&gt;='Launch flag &amp; Life-Cycle Factor'!$F$18, $E14&lt;='Launch flag &amp; Life-Cycle Factor'!$E$18),'Launch flag &amp; Life-Cycle Factor'!$B$18, IF(AND($E14&gt;='Launch flag &amp; Life-Cycle Factor'!$F$17, $E14&lt;='Launch flag &amp; Life-Cycle Factor'!$E$17),'Launch flag &amp; Life-Cycle Factor'!$B$17, IF(AND($E14&gt;='Launch flag &amp; Life-Cycle Factor'!$F$16, $E14&lt;='Launch flag &amp; Life-Cycle Factor'!$E$16),'Launch flag &amp; Life-Cycle Factor'!$B$16,IF(AND($E14&gt;='Launch flag &amp; Life-Cycle Factor'!$F$15, $E14&lt;='Launch flag &amp; Life-Cycle Factor'!$E$15),'Launch flag &amp; Life-Cycle Factor'!$B$15, IF(AND($E14&gt;='Launch flag &amp; Life-Cycle Factor'!$F$14, $E14&lt;='Launch flag &amp; Life-Cycle Factor'!$E$14),'Launch flag &amp; Life-Cycle Factor'!$B$14,IF(AND($E14&gt;='Launch flag &amp; Life-Cycle Factor'!$F$13, $E14&lt;='Launch flag &amp; Life-Cycle Factor'!$E$13),'Launch flag &amp; Life-Cycle Factor'!$B$13, IF(AND($E14&gt;='Launch flag &amp; Life-Cycle Factor'!$F$12, $E14&lt;='Launch flag &amp; Life-Cycle Factor'!$E$12),'Launch flag &amp; Life-Cycle Factor'!$B$12, IF(AND($E14&gt;='Launch flag &amp; Life-Cycle Factor'!$F$11, $E14&lt;='Launch flag &amp; Life-Cycle Factor'!$E$11),'Launch flag &amp; Life-Cycle Factor'!$B$11, IF(AND($E14&gt;='Launch flag &amp; Life-Cycle Factor'!$F$10, $E14&lt;='Launch flag &amp; Life-Cycle Factor'!$E$10),'Launch flag &amp; Life-Cycle Factor'!$B$10, IF(AND($E14&gt;='Launch flag &amp; Life-Cycle Factor'!$F$9, $E14&lt;='Launch flag &amp; Life-Cycle Factor'!$E$9),'Launch flag &amp; Life-Cycle Factor'!$B$9, IF(AND($E14&gt;='Launch flag &amp; Life-Cycle Factor'!$F$8, $E14&lt;='Launch flag &amp; Life-Cycle Factor'!$E$8),'Launch flag &amp; Life-Cycle Factor'!$B$8, IF(AND($E14&gt;='Launch flag &amp; Life-Cycle Factor'!$F$7, $E14&lt;='Launch flag &amp; Life-Cycle Factor'!$E$7),'Launch flag &amp; Life-Cycle Factor'!$B$7, IF(AND($E14&gt;='Launch flag &amp; Life-Cycle Factor'!$F$6, $E14&lt;='Launch flag &amp; Life-Cycle Factor'!$E$6),'Launch flag &amp; Life-Cycle Factor'!$B$6, "-")))))))))))))))))))</f>
        <v>Recent Launch</v>
      </c>
      <c r="E14" s="219">
        <f>INDEX('NPS with launch Dates '!$J$6:$J$59,MATCH('2.  Sales Data Key &amp; Key-Lyn'!$C14,'NPS with launch Dates '!$I$6:$I$59,0))</f>
        <v>45140</v>
      </c>
      <c r="F14" s="197">
        <f>INDEX('Raw Sales Forecasting Data'!$D$11:$H$126,MATCH('2.  Sales Data Key &amp; Key-Lyn'!$C14,'Raw Sales Forecasting Data'!$C$11:$C$126,0),MATCH('2.  Sales Data Key &amp; Key-Lyn'!F$6,'Raw Sales Forecasting Data'!$D$10:$H$10,0))</f>
        <v>0</v>
      </c>
      <c r="G14" s="198">
        <f>INDEX('Raw Sales Forecasting Data'!$D$11:$H$126,MATCH('2.  Sales Data Key &amp; Key-Lyn'!$C14,'Raw Sales Forecasting Data'!$C$11:$C$126,0),MATCH('2.  Sales Data Key &amp; Key-Lyn'!G$6,'Raw Sales Forecasting Data'!$D$10:$H$10,0))</f>
        <v>15</v>
      </c>
      <c r="H14" s="198">
        <f>INDEX('Raw Sales Forecasting Data'!$D$11:$H$126,MATCH('2.  Sales Data Key &amp; Key-Lyn'!$C14,'Raw Sales Forecasting Data'!$C$11:$C$126,0),MATCH('2.  Sales Data Key &amp; Key-Lyn'!H$6,'Raw Sales Forecasting Data'!$D$10:$H$10,0))</f>
        <v>84</v>
      </c>
      <c r="I14" s="198">
        <f>INDEX('Raw Sales Forecasting Data'!$D$11:$H$126,MATCH('2.  Sales Data Key &amp; Key-Lyn'!$C14,'Raw Sales Forecasting Data'!$C$11:$C$126,0),MATCH('2.  Sales Data Key &amp; Key-Lyn'!I$6,'Raw Sales Forecasting Data'!$D$10:$H$10,0))</f>
        <v>158</v>
      </c>
      <c r="J14" s="199">
        <f>INDEX('Raw Sales Forecasting Data'!$D$11:$H$126,MATCH('2.  Sales Data Key &amp; Key-Lyn'!$C14,'Raw Sales Forecasting Data'!$C$11:$C$126,0),MATCH('2.  Sales Data Key &amp; Key-Lyn'!J$6,'Raw Sales Forecasting Data'!$D$10:$H$10,0))</f>
        <v>177</v>
      </c>
      <c r="K14" s="203">
        <f>INDEX('Raw Sales Forecasting Data'!$J$11:$N$126,MATCH('2.  Sales Data Key &amp; Key-Lyn'!$C14,'Raw Sales Forecasting Data'!$C$11:$C$126,0),MATCH('2.  Sales Data Key &amp; Key-Lyn'!K$6,'Raw Sales Forecasting Data'!$J$10:$N$10,0))</f>
        <v>0</v>
      </c>
      <c r="L14" s="198">
        <f>INDEX('Raw Sales Forecasting Data'!$J$11:$N$126,MATCH('2.  Sales Data Key &amp; Key-Lyn'!$C14,'Raw Sales Forecasting Data'!$C$11:$C$126,0),MATCH('2.  Sales Data Key &amp; Key-Lyn'!L$6,'Raw Sales Forecasting Data'!$J$10:$N$10,0))</f>
        <v>15</v>
      </c>
      <c r="M14" s="198">
        <f>INDEX('Raw Sales Forecasting Data'!$J$11:$N$126,MATCH('2.  Sales Data Key &amp; Key-Lyn'!$C14,'Raw Sales Forecasting Data'!$C$11:$C$126,0),MATCH('2.  Sales Data Key &amp; Key-Lyn'!M$6,'Raw Sales Forecasting Data'!$J$10:$N$10,0))</f>
        <v>84</v>
      </c>
      <c r="N14" s="198">
        <f>INDEX('Raw Sales Forecasting Data'!$J$11:$N$126,MATCH('2.  Sales Data Key &amp; Key-Lyn'!$C14,'Raw Sales Forecasting Data'!$C$11:$C$126,0),MATCH('2.  Sales Data Key &amp; Key-Lyn'!N$6,'Raw Sales Forecasting Data'!$J$10:$N$10,0))</f>
        <v>158</v>
      </c>
      <c r="O14" s="238">
        <f>INDEX('Raw Sales Forecasting Data'!$J$11:$N$126,MATCH('2.  Sales Data Key &amp; Key-Lyn'!$C14,'Raw Sales Forecasting Data'!$C$11:$C$126,0),MATCH('2.  Sales Data Key &amp; Key-Lyn'!O$6,'Raw Sales Forecasting Data'!$J$10:$N$10,0))</f>
        <v>177</v>
      </c>
      <c r="P14" s="240">
        <f>IF(AND($E14&gt;='Launch flag &amp; Life-Cycle Factor'!$F$24, $E14&lt;='Launch flag &amp; Life-Cycle Factor'!$E$24),'Launch flag &amp; Life-Cycle Factor'!$H$24, IF(AND($E14&gt;='Launch flag &amp; Life-Cycle Factor'!$F$23, $E14&lt;='Launch flag &amp; Life-Cycle Factor'!$E$23),'Launch flag &amp; Life-Cycle Factor'!$H$23, IF(AND($E14&gt;='Launch flag &amp; Life-Cycle Factor'!$F$22, $E14&lt;='Launch flag &amp; Life-Cycle Factor'!$E$22),'Launch flag &amp; Life-Cycle Factor'!$H$22, IF(AND($E14&gt;='Launch flag &amp; Life-Cycle Factor'!$F$21, $E14&lt;='Launch flag &amp; Life-Cycle Factor'!$E$21),'Launch flag &amp; Life-Cycle Factor'!$H$21, IF(AND($E14&gt;='Launch flag &amp; Life-Cycle Factor'!$F$20, $E14&lt;='Launch flag &amp; Life-Cycle Factor'!$E$20),'Launch flag &amp; Life-Cycle Factor'!$H$20, IF(AND($E14&gt;='Launch flag &amp; Life-Cycle Factor'!$F$19, $E14&lt;='Launch flag &amp; Life-Cycle Factor'!$E$19),'Launch flag &amp; Life-Cycle Factor'!$H$19, IF(AND($E14&gt;='Launch flag &amp; Life-Cycle Factor'!$F$18, $E14&lt;='Launch flag &amp; Life-Cycle Factor'!$E$18),'Launch flag &amp; Life-Cycle Factor'!$H$18, IF(AND($E14&gt;='Launch flag &amp; Life-Cycle Factor'!$F$17, $E14&lt;='Launch flag &amp; Life-Cycle Factor'!$E$17),'Launch flag &amp; Life-Cycle Factor'!$H$17, IF(AND($E14&gt;='Launch flag &amp; Life-Cycle Factor'!$F$16, $E14&lt;='Launch flag &amp; Life-Cycle Factor'!$E$16),'Launch flag &amp; Life-Cycle Factor'!$H$16,IF(AND($E14&gt;='Launch flag &amp; Life-Cycle Factor'!$F$15, $E14&lt;='Launch flag &amp; Life-Cycle Factor'!$E$15),'Launch flag &amp; Life-Cycle Factor'!$H$15, IF(AND($E14&gt;='Launch flag &amp; Life-Cycle Factor'!$F$14, $E14&lt;='Launch flag &amp; Life-Cycle Factor'!$E$14),'Launch flag &amp; Life-Cycle Factor'!$H$14,IF(AND($E14&gt;='Launch flag &amp; Life-Cycle Factor'!$F$13, $E14&lt;='Launch flag &amp; Life-Cycle Factor'!$E$13),'Launch flag &amp; Life-Cycle Factor'!$H$13, IF(AND($E14&gt;='Launch flag &amp; Life-Cycle Factor'!$F$12, $E14&lt;='Launch flag &amp; Life-Cycle Factor'!$E$12),'Launch flag &amp; Life-Cycle Factor'!$H$12, IF(AND($E14&gt;='Launch flag &amp; Life-Cycle Factor'!$F$11, $E14&lt;='Launch flag &amp; Life-Cycle Factor'!$E$11),'Launch flag &amp; Life-Cycle Factor'!$H$11, IF(AND($E14&gt;='Launch flag &amp; Life-Cycle Factor'!$F$10, $E14&lt;='Launch flag &amp; Life-Cycle Factor'!$E$10),'Launch flag &amp; Life-Cycle Factor'!$H$10, IF(AND($E14&gt;='Launch flag &amp; Life-Cycle Factor'!$F$9, $E14&lt;='Launch flag &amp; Life-Cycle Factor'!$E$9),'Launch flag &amp; Life-Cycle Factor'!$H$9, IF(AND($E14&gt;='Launch flag &amp; Life-Cycle Factor'!$F$8, $E14&lt;='Launch flag &amp; Life-Cycle Factor'!$E$8),'Launch flag &amp; Life-Cycle Factor'!$H$8, IF(AND($E14&gt;='Launch flag &amp; Life-Cycle Factor'!$F$7, $E14&lt;='Launch flag &amp; Life-Cycle Factor'!$E$7),'Launch flag &amp; Life-Cycle Factor'!$H$7, IF(AND($E14&gt;='Launch flag &amp; Life-Cycle Factor'!$F$6, $E14&lt;='Launch flag &amp; Life-Cycle Factor'!$E$6),'Launch flag &amp; Life-Cycle Factor'!$H$6, "-")))))))))))))))))))</f>
        <v>0.65</v>
      </c>
      <c r="Q14" s="655">
        <f>IF(AND($E14&gt;='Launch flag &amp; Life-Cycle Factor'!$F$24, $E14&lt;='Launch flag &amp; Life-Cycle Factor'!$E$24),'Launch flag &amp; Life-Cycle Factor'!$I$24, IF(AND($E14&gt;='Launch flag &amp; Life-Cycle Factor'!$F$23, $E14&lt;='Launch flag &amp; Life-Cycle Factor'!$E$23),'Launch flag &amp; Life-Cycle Factor'!$I$23, IF(AND($E14&gt;='Launch flag &amp; Life-Cycle Factor'!$F$22, $E14&lt;='Launch flag &amp; Life-Cycle Factor'!$E$22),'Launch flag &amp; Life-Cycle Factor'!$I$22, IF(AND($E14&gt;='Launch flag &amp; Life-Cycle Factor'!$F$21, $E14&lt;='Launch flag &amp; Life-Cycle Factor'!$E$21),'Launch flag &amp; Life-Cycle Factor'!$I$21, IF(AND($E14&gt;='Launch flag &amp; Life-Cycle Factor'!$F$20, $E14&lt;='Launch flag &amp; Life-Cycle Factor'!$E$20),'Launch flag &amp; Life-Cycle Factor'!$I$20, IF(AND($E14&gt;='Launch flag &amp; Life-Cycle Factor'!$F$19, $E14&lt;='Launch flag &amp; Life-Cycle Factor'!$E$19),'Launch flag &amp; Life-Cycle Factor'!$I$19, IF(AND($E14&gt;='Launch flag &amp; Life-Cycle Factor'!$F$18, $E14&lt;='Launch flag &amp; Life-Cycle Factor'!$E$18),'Launch flag &amp; Life-Cycle Factor'!$I$18, IF(AND($E14&gt;='Launch flag &amp; Life-Cycle Factor'!$F$17, $E14&lt;='Launch flag &amp; Life-Cycle Factor'!$E$17),'Launch flag &amp; Life-Cycle Factor'!$I$17, IF(AND($E14&gt;='Launch flag &amp; Life-Cycle Factor'!$F$16, $E14&lt;='Launch flag &amp; Life-Cycle Factor'!$E$16),'Launch flag &amp; Life-Cycle Factor'!$I$16,IF(AND($E14&gt;='Launch flag &amp; Life-Cycle Factor'!$F$15, $E14&lt;='Launch flag &amp; Life-Cycle Factor'!$E$15),'Launch flag &amp; Life-Cycle Factor'!$I$15, IF(AND($E14&gt;='Launch flag &amp; Life-Cycle Factor'!$F$14, $E14&lt;='Launch flag &amp; Life-Cycle Factor'!$E$14),'Launch flag &amp; Life-Cycle Factor'!$I$14,IF(AND($E14&gt;='Launch flag &amp; Life-Cycle Factor'!$F$13, $E14&lt;='Launch flag &amp; Life-Cycle Factor'!$E$13),'Launch flag &amp; Life-Cycle Factor'!$I$13, IF(AND($E14&gt;='Launch flag &amp; Life-Cycle Factor'!$F$12, $E14&lt;='Launch flag &amp; Life-Cycle Factor'!$E$12),'Launch flag &amp; Life-Cycle Factor'!$I$12, IF(AND($E14&gt;='Launch flag &amp; Life-Cycle Factor'!$F$11, $E14&lt;='Launch flag &amp; Life-Cycle Factor'!$E$11),'Launch flag &amp; Life-Cycle Factor'!$I$11, IF(AND($E14&gt;='Launch flag &amp; Life-Cycle Factor'!$F$10, $E14&lt;='Launch flag &amp; Life-Cycle Factor'!$E$10),'Launch flag &amp; Life-Cycle Factor'!$I$10, IF(AND($E14&gt;='Launch flag &amp; Life-Cycle Factor'!$F$9, $E14&lt;='Launch flag &amp; Life-Cycle Factor'!$E$9),'Launch flag &amp; Life-Cycle Factor'!$I$9, IF(AND($E14&gt;='Launch flag &amp; Life-Cycle Factor'!$F$8, $E14&lt;='Launch flag &amp; Life-Cycle Factor'!$E$8),'Launch flag &amp; Life-Cycle Factor'!$I$8, IF(AND($E14&gt;='Launch flag &amp; Life-Cycle Factor'!$F$7, $E14&lt;='Launch flag &amp; Life-Cycle Factor'!$E$7),'Launch flag &amp; Life-Cycle Factor'!$I$7, IF(AND($E14&gt;='Launch flag &amp; Life-Cycle Factor'!$F$6, $E14&lt;='Launch flag &amp; Life-Cycle Factor'!$E$6),'Launch flag &amp; Life-Cycle Factor'!$I$6, "-")))))))))))))))))))</f>
        <v>0.35</v>
      </c>
      <c r="R14" s="662">
        <f t="shared" si="0"/>
        <v>9.75</v>
      </c>
      <c r="S14" s="663">
        <f t="shared" si="1"/>
        <v>29.4</v>
      </c>
      <c r="T14" s="242">
        <f t="shared" si="2"/>
        <v>9.75</v>
      </c>
      <c r="U14" s="243">
        <f t="shared" si="3"/>
        <v>29.4</v>
      </c>
      <c r="V14" s="837">
        <f t="shared" si="4"/>
        <v>39.15</v>
      </c>
      <c r="W14" s="838">
        <f t="shared" si="5"/>
        <v>39.15</v>
      </c>
      <c r="X14" s="672"/>
    </row>
    <row r="15" spans="2:24" x14ac:dyDescent="0.35">
      <c r="B15" s="186" t="s">
        <v>43</v>
      </c>
      <c r="C15" s="192" t="s">
        <v>347</v>
      </c>
      <c r="D15" s="206" t="str">
        <f>IF(AND($E15&gt;='Launch flag &amp; Life-Cycle Factor'!$F$24, $E15&lt;='Launch flag &amp; Life-Cycle Factor'!$E$24),'Launch flag &amp; Life-Cycle Factor'!$B$24, IF(AND($E15&gt;='Launch flag &amp; Life-Cycle Factor'!$F$23, $E15&lt;='Launch flag &amp; Life-Cycle Factor'!$E$23),'Launch flag &amp; Life-Cycle Factor'!$B$23, IF(AND($E15&gt;='Launch flag &amp; Life-Cycle Factor'!$F$22, $E15&lt;='Launch flag &amp; Life-Cycle Factor'!$E$22),'Launch flag &amp; Life-Cycle Factor'!$B$22, IF(AND($E15&gt;='Launch flag &amp; Life-Cycle Factor'!$F$21, $E15&lt;='Launch flag &amp; Life-Cycle Factor'!$E$21),'Launch flag &amp; Life-Cycle Factor'!$B$21, IF(AND($E15&gt;='Launch flag &amp; Life-Cycle Factor'!$F$20, $E15&lt;='Launch flag &amp; Life-Cycle Factor'!$E$20),'Launch flag &amp; Life-Cycle Factor'!$B$20, IF(AND($E15&gt;='Launch flag &amp; Life-Cycle Factor'!$F$19, $E15&lt;='Launch flag &amp; Life-Cycle Factor'!$E$19),'Launch flag &amp; Life-Cycle Factor'!$B$19, IF(AND($E15&gt;='Launch flag &amp; Life-Cycle Factor'!$F$18, $E15&lt;='Launch flag &amp; Life-Cycle Factor'!$E$18),'Launch flag &amp; Life-Cycle Factor'!$B$18, IF(AND($E15&gt;='Launch flag &amp; Life-Cycle Factor'!$F$17, $E15&lt;='Launch flag &amp; Life-Cycle Factor'!$E$17),'Launch flag &amp; Life-Cycle Factor'!$B$17, IF(AND($E15&gt;='Launch flag &amp; Life-Cycle Factor'!$F$16, $E15&lt;='Launch flag &amp; Life-Cycle Factor'!$E$16),'Launch flag &amp; Life-Cycle Factor'!$B$16,IF(AND($E15&gt;='Launch flag &amp; Life-Cycle Factor'!$F$15, $E15&lt;='Launch flag &amp; Life-Cycle Factor'!$E$15),'Launch flag &amp; Life-Cycle Factor'!$B$15, IF(AND($E15&gt;='Launch flag &amp; Life-Cycle Factor'!$F$14, $E15&lt;='Launch flag &amp; Life-Cycle Factor'!$E$14),'Launch flag &amp; Life-Cycle Factor'!$B$14,IF(AND($E15&gt;='Launch flag &amp; Life-Cycle Factor'!$F$13, $E15&lt;='Launch flag &amp; Life-Cycle Factor'!$E$13),'Launch flag &amp; Life-Cycle Factor'!$B$13, IF(AND($E15&gt;='Launch flag &amp; Life-Cycle Factor'!$F$12, $E15&lt;='Launch flag &amp; Life-Cycle Factor'!$E$12),'Launch flag &amp; Life-Cycle Factor'!$B$12, IF(AND($E15&gt;='Launch flag &amp; Life-Cycle Factor'!$F$11, $E15&lt;='Launch flag &amp; Life-Cycle Factor'!$E$11),'Launch flag &amp; Life-Cycle Factor'!$B$11, IF(AND($E15&gt;='Launch flag &amp; Life-Cycle Factor'!$F$10, $E15&lt;='Launch flag &amp; Life-Cycle Factor'!$E$10),'Launch flag &amp; Life-Cycle Factor'!$B$10, IF(AND($E15&gt;='Launch flag &amp; Life-Cycle Factor'!$F$9, $E15&lt;='Launch flag &amp; Life-Cycle Factor'!$E$9),'Launch flag &amp; Life-Cycle Factor'!$B$9, IF(AND($E15&gt;='Launch flag &amp; Life-Cycle Factor'!$F$8, $E15&lt;='Launch flag &amp; Life-Cycle Factor'!$E$8),'Launch flag &amp; Life-Cycle Factor'!$B$8, IF(AND($E15&gt;='Launch flag &amp; Life-Cycle Factor'!$F$7, $E15&lt;='Launch flag &amp; Life-Cycle Factor'!$E$7),'Launch flag &amp; Life-Cycle Factor'!$B$7, IF(AND($E15&gt;='Launch flag &amp; Life-Cycle Factor'!$F$6, $E15&lt;='Launch flag &amp; Life-Cycle Factor'!$E$6),'Launch flag &amp; Life-Cycle Factor'!$B$6, "-")))))))))))))))))))</f>
        <v>Planning Year</v>
      </c>
      <c r="E15" s="219">
        <f>INDEX('NPS with launch Dates '!$J$6:$J$59,MATCH('2.  Sales Data Key &amp; Key-Lyn'!$C15,'NPS with launch Dates '!$I$6:$I$59,0))</f>
        <v>45506</v>
      </c>
      <c r="F15" s="197">
        <f>INDEX('Raw Sales Forecasting Data'!$D$11:$H$126,MATCH('2.  Sales Data Key &amp; Key-Lyn'!$C15,'Raw Sales Forecasting Data'!$C$11:$C$126,0),MATCH('2.  Sales Data Key &amp; Key-Lyn'!F$6,'Raw Sales Forecasting Data'!$D$10:$H$10,0))</f>
        <v>122.32057672478</v>
      </c>
      <c r="G15" s="198">
        <f>INDEX('Raw Sales Forecasting Data'!$D$11:$H$126,MATCH('2.  Sales Data Key &amp; Key-Lyn'!$C15,'Raw Sales Forecasting Data'!$C$11:$C$126,0),MATCH('2.  Sales Data Key &amp; Key-Lyn'!G$6,'Raw Sales Forecasting Data'!$D$10:$H$10,0))</f>
        <v>150.34246645845832</v>
      </c>
      <c r="H15" s="198">
        <f>INDEX('Raw Sales Forecasting Data'!$D$11:$H$126,MATCH('2.  Sales Data Key &amp; Key-Lyn'!$C15,'Raw Sales Forecasting Data'!$C$11:$C$126,0),MATCH('2.  Sales Data Key &amp; Key-Lyn'!H$6,'Raw Sales Forecasting Data'!$D$10:$H$10,0))</f>
        <v>658.22348880620098</v>
      </c>
      <c r="I15" s="198">
        <f>INDEX('Raw Sales Forecasting Data'!$D$11:$H$126,MATCH('2.  Sales Data Key &amp; Key-Lyn'!$C15,'Raw Sales Forecasting Data'!$C$11:$C$126,0),MATCH('2.  Sales Data Key &amp; Key-Lyn'!I$6,'Raw Sales Forecasting Data'!$D$10:$H$10,0))</f>
        <v>1286.681112834151</v>
      </c>
      <c r="J15" s="199">
        <f>INDEX('Raw Sales Forecasting Data'!$D$11:$H$126,MATCH('2.  Sales Data Key &amp; Key-Lyn'!$C15,'Raw Sales Forecasting Data'!$C$11:$C$126,0),MATCH('2.  Sales Data Key &amp; Key-Lyn'!J$6,'Raw Sales Forecasting Data'!$D$10:$H$10,0))</f>
        <v>1388.5240997157596</v>
      </c>
      <c r="K15" s="203">
        <f>INDEX('Raw Sales Forecasting Data'!$J$11:$N$126,MATCH('2.  Sales Data Key &amp; Key-Lyn'!$C15,'Raw Sales Forecasting Data'!$C$11:$C$126,0),MATCH('2.  Sales Data Key &amp; Key-Lyn'!K$6,'Raw Sales Forecasting Data'!$J$10:$N$10,0))</f>
        <v>122.32057672478049</v>
      </c>
      <c r="L15" s="198">
        <f>INDEX('Raw Sales Forecasting Data'!$J$11:$N$126,MATCH('2.  Sales Data Key &amp; Key-Lyn'!$C15,'Raw Sales Forecasting Data'!$C$11:$C$126,0),MATCH('2.  Sales Data Key &amp; Key-Lyn'!L$6,'Raw Sales Forecasting Data'!$J$10:$N$10,0))</f>
        <v>150.34246645845832</v>
      </c>
      <c r="M15" s="198">
        <f>INDEX('Raw Sales Forecasting Data'!$J$11:$N$126,MATCH('2.  Sales Data Key &amp; Key-Lyn'!$C15,'Raw Sales Forecasting Data'!$C$11:$C$126,0),MATCH('2.  Sales Data Key &amp; Key-Lyn'!M$6,'Raw Sales Forecasting Data'!$J$10:$N$10,0))</f>
        <v>658.22348880620098</v>
      </c>
      <c r="N15" s="198">
        <f>INDEX('Raw Sales Forecasting Data'!$J$11:$N$126,MATCH('2.  Sales Data Key &amp; Key-Lyn'!$C15,'Raw Sales Forecasting Data'!$C$11:$C$126,0),MATCH('2.  Sales Data Key &amp; Key-Lyn'!N$6,'Raw Sales Forecasting Data'!$J$10:$N$10,0))</f>
        <v>1286.681112834151</v>
      </c>
      <c r="O15" s="238">
        <f>INDEX('Raw Sales Forecasting Data'!$J$11:$N$126,MATCH('2.  Sales Data Key &amp; Key-Lyn'!$C15,'Raw Sales Forecasting Data'!$C$11:$C$126,0),MATCH('2.  Sales Data Key &amp; Key-Lyn'!O$6,'Raw Sales Forecasting Data'!$J$10:$N$10,0))</f>
        <v>1388.5240997157596</v>
      </c>
      <c r="P15" s="240">
        <f>IF(AND($E15&gt;='Launch flag &amp; Life-Cycle Factor'!$F$24, $E15&lt;='Launch flag &amp; Life-Cycle Factor'!$E$24),'Launch flag &amp; Life-Cycle Factor'!$H$24, IF(AND($E15&gt;='Launch flag &amp; Life-Cycle Factor'!$F$23, $E15&lt;='Launch flag &amp; Life-Cycle Factor'!$E$23),'Launch flag &amp; Life-Cycle Factor'!$H$23, IF(AND($E15&gt;='Launch flag &amp; Life-Cycle Factor'!$F$22, $E15&lt;='Launch flag &amp; Life-Cycle Factor'!$E$22),'Launch flag &amp; Life-Cycle Factor'!$H$22, IF(AND($E15&gt;='Launch flag &amp; Life-Cycle Factor'!$F$21, $E15&lt;='Launch flag &amp; Life-Cycle Factor'!$E$21),'Launch flag &amp; Life-Cycle Factor'!$H$21, IF(AND($E15&gt;='Launch flag &amp; Life-Cycle Factor'!$F$20, $E15&lt;='Launch flag &amp; Life-Cycle Factor'!$E$20),'Launch flag &amp; Life-Cycle Factor'!$H$20, IF(AND($E15&gt;='Launch flag &amp; Life-Cycle Factor'!$F$19, $E15&lt;='Launch flag &amp; Life-Cycle Factor'!$E$19),'Launch flag &amp; Life-Cycle Factor'!$H$19, IF(AND($E15&gt;='Launch flag &amp; Life-Cycle Factor'!$F$18, $E15&lt;='Launch flag &amp; Life-Cycle Factor'!$E$18),'Launch flag &amp; Life-Cycle Factor'!$H$18, IF(AND($E15&gt;='Launch flag &amp; Life-Cycle Factor'!$F$17, $E15&lt;='Launch flag &amp; Life-Cycle Factor'!$E$17),'Launch flag &amp; Life-Cycle Factor'!$H$17, IF(AND($E15&gt;='Launch flag &amp; Life-Cycle Factor'!$F$16, $E15&lt;='Launch flag &amp; Life-Cycle Factor'!$E$16),'Launch flag &amp; Life-Cycle Factor'!$H$16,IF(AND($E15&gt;='Launch flag &amp; Life-Cycle Factor'!$F$15, $E15&lt;='Launch flag &amp; Life-Cycle Factor'!$E$15),'Launch flag &amp; Life-Cycle Factor'!$H$15, IF(AND($E15&gt;='Launch flag &amp; Life-Cycle Factor'!$F$14, $E15&lt;='Launch flag &amp; Life-Cycle Factor'!$E$14),'Launch flag &amp; Life-Cycle Factor'!$H$14,IF(AND($E15&gt;='Launch flag &amp; Life-Cycle Factor'!$F$13, $E15&lt;='Launch flag &amp; Life-Cycle Factor'!$E$13),'Launch flag &amp; Life-Cycle Factor'!$H$13, IF(AND($E15&gt;='Launch flag &amp; Life-Cycle Factor'!$F$12, $E15&lt;='Launch flag &amp; Life-Cycle Factor'!$E$12),'Launch flag &amp; Life-Cycle Factor'!$H$12, IF(AND($E15&gt;='Launch flag &amp; Life-Cycle Factor'!$F$11, $E15&lt;='Launch flag &amp; Life-Cycle Factor'!$E$11),'Launch flag &amp; Life-Cycle Factor'!$H$11, IF(AND($E15&gt;='Launch flag &amp; Life-Cycle Factor'!$F$10, $E15&lt;='Launch flag &amp; Life-Cycle Factor'!$E$10),'Launch flag &amp; Life-Cycle Factor'!$H$10, IF(AND($E15&gt;='Launch flag &amp; Life-Cycle Factor'!$F$9, $E15&lt;='Launch flag &amp; Life-Cycle Factor'!$E$9),'Launch flag &amp; Life-Cycle Factor'!$H$9, IF(AND($E15&gt;='Launch flag &amp; Life-Cycle Factor'!$F$8, $E15&lt;='Launch flag &amp; Life-Cycle Factor'!$E$8),'Launch flag &amp; Life-Cycle Factor'!$H$8, IF(AND($E15&gt;='Launch flag &amp; Life-Cycle Factor'!$F$7, $E15&lt;='Launch flag &amp; Life-Cycle Factor'!$E$7),'Launch flag &amp; Life-Cycle Factor'!$H$7, IF(AND($E15&gt;='Launch flag &amp; Life-Cycle Factor'!$F$6, $E15&lt;='Launch flag &amp; Life-Cycle Factor'!$E$6),'Launch flag &amp; Life-Cycle Factor'!$H$6, "-")))))))))))))))))))</f>
        <v>0.25</v>
      </c>
      <c r="Q15" s="655">
        <f>IF(AND($E15&gt;='Launch flag &amp; Life-Cycle Factor'!$F$24, $E15&lt;='Launch flag &amp; Life-Cycle Factor'!$E$24),'Launch flag &amp; Life-Cycle Factor'!$I$24, IF(AND($E15&gt;='Launch flag &amp; Life-Cycle Factor'!$F$23, $E15&lt;='Launch flag &amp; Life-Cycle Factor'!$E$23),'Launch flag &amp; Life-Cycle Factor'!$I$23, IF(AND($E15&gt;='Launch flag &amp; Life-Cycle Factor'!$F$22, $E15&lt;='Launch flag &amp; Life-Cycle Factor'!$E$22),'Launch flag &amp; Life-Cycle Factor'!$I$22, IF(AND($E15&gt;='Launch flag &amp; Life-Cycle Factor'!$F$21, $E15&lt;='Launch flag &amp; Life-Cycle Factor'!$E$21),'Launch flag &amp; Life-Cycle Factor'!$I$21, IF(AND($E15&gt;='Launch flag &amp; Life-Cycle Factor'!$F$20, $E15&lt;='Launch flag &amp; Life-Cycle Factor'!$E$20),'Launch flag &amp; Life-Cycle Factor'!$I$20, IF(AND($E15&gt;='Launch flag &amp; Life-Cycle Factor'!$F$19, $E15&lt;='Launch flag &amp; Life-Cycle Factor'!$E$19),'Launch flag &amp; Life-Cycle Factor'!$I$19, IF(AND($E15&gt;='Launch flag &amp; Life-Cycle Factor'!$F$18, $E15&lt;='Launch flag &amp; Life-Cycle Factor'!$E$18),'Launch flag &amp; Life-Cycle Factor'!$I$18, IF(AND($E15&gt;='Launch flag &amp; Life-Cycle Factor'!$F$17, $E15&lt;='Launch flag &amp; Life-Cycle Factor'!$E$17),'Launch flag &amp; Life-Cycle Factor'!$I$17, IF(AND($E15&gt;='Launch flag &amp; Life-Cycle Factor'!$F$16, $E15&lt;='Launch flag &amp; Life-Cycle Factor'!$E$16),'Launch flag &amp; Life-Cycle Factor'!$I$16,IF(AND($E15&gt;='Launch flag &amp; Life-Cycle Factor'!$F$15, $E15&lt;='Launch flag &amp; Life-Cycle Factor'!$E$15),'Launch flag &amp; Life-Cycle Factor'!$I$15, IF(AND($E15&gt;='Launch flag &amp; Life-Cycle Factor'!$F$14, $E15&lt;='Launch flag &amp; Life-Cycle Factor'!$E$14),'Launch flag &amp; Life-Cycle Factor'!$I$14,IF(AND($E15&gt;='Launch flag &amp; Life-Cycle Factor'!$F$13, $E15&lt;='Launch flag &amp; Life-Cycle Factor'!$E$13),'Launch flag &amp; Life-Cycle Factor'!$I$13, IF(AND($E15&gt;='Launch flag &amp; Life-Cycle Factor'!$F$12, $E15&lt;='Launch flag &amp; Life-Cycle Factor'!$E$12),'Launch flag &amp; Life-Cycle Factor'!$I$12, IF(AND($E15&gt;='Launch flag &amp; Life-Cycle Factor'!$F$11, $E15&lt;='Launch flag &amp; Life-Cycle Factor'!$E$11),'Launch flag &amp; Life-Cycle Factor'!$I$11, IF(AND($E15&gt;='Launch flag &amp; Life-Cycle Factor'!$F$10, $E15&lt;='Launch flag &amp; Life-Cycle Factor'!$E$10),'Launch flag &amp; Life-Cycle Factor'!$I$10, IF(AND($E15&gt;='Launch flag &amp; Life-Cycle Factor'!$F$9, $E15&lt;='Launch flag &amp; Life-Cycle Factor'!$E$9),'Launch flag &amp; Life-Cycle Factor'!$I$9, IF(AND($E15&gt;='Launch flag &amp; Life-Cycle Factor'!$F$8, $E15&lt;='Launch flag &amp; Life-Cycle Factor'!$E$8),'Launch flag &amp; Life-Cycle Factor'!$I$8, IF(AND($E15&gt;='Launch flag &amp; Life-Cycle Factor'!$F$7, $E15&lt;='Launch flag &amp; Life-Cycle Factor'!$E$7),'Launch flag &amp; Life-Cycle Factor'!$I$7, IF(AND($E15&gt;='Launch flag &amp; Life-Cycle Factor'!$F$6, $E15&lt;='Launch flag &amp; Life-Cycle Factor'!$E$6),'Launch flag &amp; Life-Cycle Factor'!$I$6, "-")))))))))))))))))))</f>
        <v>0.75</v>
      </c>
      <c r="R15" s="662">
        <f t="shared" si="0"/>
        <v>37.58561661461458</v>
      </c>
      <c r="S15" s="663">
        <f t="shared" si="1"/>
        <v>493.66761660465073</v>
      </c>
      <c r="T15" s="242">
        <f t="shared" si="2"/>
        <v>37.58561661461458</v>
      </c>
      <c r="U15" s="243">
        <f t="shared" si="3"/>
        <v>493.66761660465073</v>
      </c>
      <c r="V15" s="837">
        <f t="shared" si="4"/>
        <v>531.25323321926533</v>
      </c>
      <c r="W15" s="838">
        <f t="shared" si="5"/>
        <v>531.25323321926533</v>
      </c>
      <c r="X15" s="672"/>
    </row>
    <row r="16" spans="2:24" x14ac:dyDescent="0.35">
      <c r="B16" s="186" t="s">
        <v>43</v>
      </c>
      <c r="C16" s="192" t="s">
        <v>93</v>
      </c>
      <c r="D16" s="206" t="str">
        <f>IF(AND($E16&gt;='Launch flag &amp; Life-Cycle Factor'!$F$24, $E16&lt;='Launch flag &amp; Life-Cycle Factor'!$E$24),'Launch flag &amp; Life-Cycle Factor'!$B$24, IF(AND($E16&gt;='Launch flag &amp; Life-Cycle Factor'!$F$23, $E16&lt;='Launch flag &amp; Life-Cycle Factor'!$E$23),'Launch flag &amp; Life-Cycle Factor'!$B$23, IF(AND($E16&gt;='Launch flag &amp; Life-Cycle Factor'!$F$22, $E16&lt;='Launch flag &amp; Life-Cycle Factor'!$E$22),'Launch flag &amp; Life-Cycle Factor'!$B$22, IF(AND($E16&gt;='Launch flag &amp; Life-Cycle Factor'!$F$21, $E16&lt;='Launch flag &amp; Life-Cycle Factor'!$E$21),'Launch flag &amp; Life-Cycle Factor'!$B$21, IF(AND($E16&gt;='Launch flag &amp; Life-Cycle Factor'!$F$20, $E16&lt;='Launch flag &amp; Life-Cycle Factor'!$E$20),'Launch flag &amp; Life-Cycle Factor'!$B$20, IF(AND($E16&gt;='Launch flag &amp; Life-Cycle Factor'!$F$19, $E16&lt;='Launch flag &amp; Life-Cycle Factor'!$E$19),'Launch flag &amp; Life-Cycle Factor'!$B$19, IF(AND($E16&gt;='Launch flag &amp; Life-Cycle Factor'!$F$18, $E16&lt;='Launch flag &amp; Life-Cycle Factor'!$E$18),'Launch flag &amp; Life-Cycle Factor'!$B$18, IF(AND($E16&gt;='Launch flag &amp; Life-Cycle Factor'!$F$17, $E16&lt;='Launch flag &amp; Life-Cycle Factor'!$E$17),'Launch flag &amp; Life-Cycle Factor'!$B$17, IF(AND($E16&gt;='Launch flag &amp; Life-Cycle Factor'!$F$16, $E16&lt;='Launch flag &amp; Life-Cycle Factor'!$E$16),'Launch flag &amp; Life-Cycle Factor'!$B$16,IF(AND($E16&gt;='Launch flag &amp; Life-Cycle Factor'!$F$15, $E16&lt;='Launch flag &amp; Life-Cycle Factor'!$E$15),'Launch flag &amp; Life-Cycle Factor'!$B$15, IF(AND($E16&gt;='Launch flag &amp; Life-Cycle Factor'!$F$14, $E16&lt;='Launch flag &amp; Life-Cycle Factor'!$E$14),'Launch flag &amp; Life-Cycle Factor'!$B$14,IF(AND($E16&gt;='Launch flag &amp; Life-Cycle Factor'!$F$13, $E16&lt;='Launch flag &amp; Life-Cycle Factor'!$E$13),'Launch flag &amp; Life-Cycle Factor'!$B$13, IF(AND($E16&gt;='Launch flag &amp; Life-Cycle Factor'!$F$12, $E16&lt;='Launch flag &amp; Life-Cycle Factor'!$E$12),'Launch flag &amp; Life-Cycle Factor'!$B$12, IF(AND($E16&gt;='Launch flag &amp; Life-Cycle Factor'!$F$11, $E16&lt;='Launch flag &amp; Life-Cycle Factor'!$E$11),'Launch flag &amp; Life-Cycle Factor'!$B$11, IF(AND($E16&gt;='Launch flag &amp; Life-Cycle Factor'!$F$10, $E16&lt;='Launch flag &amp; Life-Cycle Factor'!$E$10),'Launch flag &amp; Life-Cycle Factor'!$B$10, IF(AND($E16&gt;='Launch flag &amp; Life-Cycle Factor'!$F$9, $E16&lt;='Launch flag &amp; Life-Cycle Factor'!$E$9),'Launch flag &amp; Life-Cycle Factor'!$B$9, IF(AND($E16&gt;='Launch flag &amp; Life-Cycle Factor'!$F$8, $E16&lt;='Launch flag &amp; Life-Cycle Factor'!$E$8),'Launch flag &amp; Life-Cycle Factor'!$B$8, IF(AND($E16&gt;='Launch flag &amp; Life-Cycle Factor'!$F$7, $E16&lt;='Launch flag &amp; Life-Cycle Factor'!$E$7),'Launch flag &amp; Life-Cycle Factor'!$B$7, IF(AND($E16&gt;='Launch flag &amp; Life-Cycle Factor'!$F$6, $E16&lt;='Launch flag &amp; Life-Cycle Factor'!$E$6),'Launch flag &amp; Life-Cycle Factor'!$B$6, "-")))))))))))))))))))</f>
        <v>Mature</v>
      </c>
      <c r="E16" s="219">
        <f>INDEX('NPS with launch Dates '!$J$6:$J$59,MATCH('2.  Sales Data Key &amp; Key-Lyn'!$C16,'NPS with launch Dates '!$I$6:$I$59,0))</f>
        <v>43101</v>
      </c>
      <c r="F16" s="197">
        <f>INDEX('Raw Sales Forecasting Data'!$D$11:$H$126,MATCH('2.  Sales Data Key &amp; Key-Lyn'!$C16,'Raw Sales Forecasting Data'!$C$11:$C$126,0),MATCH('2.  Sales Data Key &amp; Key-Lyn'!F$6,'Raw Sales Forecasting Data'!$D$10:$H$10,0))</f>
        <v>40</v>
      </c>
      <c r="G16" s="198">
        <f>INDEX('Raw Sales Forecasting Data'!$D$11:$H$126,MATCH('2.  Sales Data Key &amp; Key-Lyn'!$C16,'Raw Sales Forecasting Data'!$C$11:$C$126,0),MATCH('2.  Sales Data Key &amp; Key-Lyn'!G$6,'Raw Sales Forecasting Data'!$D$10:$H$10,0))</f>
        <v>52</v>
      </c>
      <c r="H16" s="198">
        <f>INDEX('Raw Sales Forecasting Data'!$D$11:$H$126,MATCH('2.  Sales Data Key &amp; Key-Lyn'!$C16,'Raw Sales Forecasting Data'!$C$11:$C$126,0),MATCH('2.  Sales Data Key &amp; Key-Lyn'!H$6,'Raw Sales Forecasting Data'!$D$10:$H$10,0))</f>
        <v>43</v>
      </c>
      <c r="I16" s="198">
        <f>INDEX('Raw Sales Forecasting Data'!$D$11:$H$126,MATCH('2.  Sales Data Key &amp; Key-Lyn'!$C16,'Raw Sales Forecasting Data'!$C$11:$C$126,0),MATCH('2.  Sales Data Key &amp; Key-Lyn'!I$6,'Raw Sales Forecasting Data'!$D$10:$H$10,0))</f>
        <v>47</v>
      </c>
      <c r="J16" s="199">
        <f>INDEX('Raw Sales Forecasting Data'!$D$11:$H$126,MATCH('2.  Sales Data Key &amp; Key-Lyn'!$C16,'Raw Sales Forecasting Data'!$C$11:$C$126,0),MATCH('2.  Sales Data Key &amp; Key-Lyn'!J$6,'Raw Sales Forecasting Data'!$D$10:$H$10,0))</f>
        <v>51</v>
      </c>
      <c r="K16" s="203">
        <f>INDEX('Raw Sales Forecasting Data'!$J$11:$N$126,MATCH('2.  Sales Data Key &amp; Key-Lyn'!$C16,'Raw Sales Forecasting Data'!$C$11:$C$126,0),MATCH('2.  Sales Data Key &amp; Key-Lyn'!K$6,'Raw Sales Forecasting Data'!$J$10:$N$10,0))</f>
        <v>40</v>
      </c>
      <c r="L16" s="198">
        <f>INDEX('Raw Sales Forecasting Data'!$J$11:$N$126,MATCH('2.  Sales Data Key &amp; Key-Lyn'!$C16,'Raw Sales Forecasting Data'!$C$11:$C$126,0),MATCH('2.  Sales Data Key &amp; Key-Lyn'!L$6,'Raw Sales Forecasting Data'!$J$10:$N$10,0))</f>
        <v>52</v>
      </c>
      <c r="M16" s="198">
        <f>INDEX('Raw Sales Forecasting Data'!$J$11:$N$126,MATCH('2.  Sales Data Key &amp; Key-Lyn'!$C16,'Raw Sales Forecasting Data'!$C$11:$C$126,0),MATCH('2.  Sales Data Key &amp; Key-Lyn'!M$6,'Raw Sales Forecasting Data'!$J$10:$N$10,0))</f>
        <v>43</v>
      </c>
      <c r="N16" s="198">
        <f>INDEX('Raw Sales Forecasting Data'!$J$11:$N$126,MATCH('2.  Sales Data Key &amp; Key-Lyn'!$C16,'Raw Sales Forecasting Data'!$C$11:$C$126,0),MATCH('2.  Sales Data Key &amp; Key-Lyn'!N$6,'Raw Sales Forecasting Data'!$J$10:$N$10,0))</f>
        <v>47</v>
      </c>
      <c r="O16" s="238">
        <f>INDEX('Raw Sales Forecasting Data'!$J$11:$N$126,MATCH('2.  Sales Data Key &amp; Key-Lyn'!$C16,'Raw Sales Forecasting Data'!$C$11:$C$126,0),MATCH('2.  Sales Data Key &amp; Key-Lyn'!O$6,'Raw Sales Forecasting Data'!$J$10:$N$10,0))</f>
        <v>51</v>
      </c>
      <c r="P16" s="240">
        <f>IF(AND($E16&gt;='Launch flag &amp; Life-Cycle Factor'!$F$24, $E16&lt;='Launch flag &amp; Life-Cycle Factor'!$E$24),'Launch flag &amp; Life-Cycle Factor'!$H$24, IF(AND($E16&gt;='Launch flag &amp; Life-Cycle Factor'!$F$23, $E16&lt;='Launch flag &amp; Life-Cycle Factor'!$E$23),'Launch flag &amp; Life-Cycle Factor'!$H$23, IF(AND($E16&gt;='Launch flag &amp; Life-Cycle Factor'!$F$22, $E16&lt;='Launch flag &amp; Life-Cycle Factor'!$E$22),'Launch flag &amp; Life-Cycle Factor'!$H$22, IF(AND($E16&gt;='Launch flag &amp; Life-Cycle Factor'!$F$21, $E16&lt;='Launch flag &amp; Life-Cycle Factor'!$E$21),'Launch flag &amp; Life-Cycle Factor'!$H$21, IF(AND($E16&gt;='Launch flag &amp; Life-Cycle Factor'!$F$20, $E16&lt;='Launch flag &amp; Life-Cycle Factor'!$E$20),'Launch flag &amp; Life-Cycle Factor'!$H$20, IF(AND($E16&gt;='Launch flag &amp; Life-Cycle Factor'!$F$19, $E16&lt;='Launch flag &amp; Life-Cycle Factor'!$E$19),'Launch flag &amp; Life-Cycle Factor'!$H$19, IF(AND($E16&gt;='Launch flag &amp; Life-Cycle Factor'!$F$18, $E16&lt;='Launch flag &amp; Life-Cycle Factor'!$E$18),'Launch flag &amp; Life-Cycle Factor'!$H$18, IF(AND($E16&gt;='Launch flag &amp; Life-Cycle Factor'!$F$17, $E16&lt;='Launch flag &amp; Life-Cycle Factor'!$E$17),'Launch flag &amp; Life-Cycle Factor'!$H$17, IF(AND($E16&gt;='Launch flag &amp; Life-Cycle Factor'!$F$16, $E16&lt;='Launch flag &amp; Life-Cycle Factor'!$E$16),'Launch flag &amp; Life-Cycle Factor'!$H$16,IF(AND($E16&gt;='Launch flag &amp; Life-Cycle Factor'!$F$15, $E16&lt;='Launch flag &amp; Life-Cycle Factor'!$E$15),'Launch flag &amp; Life-Cycle Factor'!$H$15, IF(AND($E16&gt;='Launch flag &amp; Life-Cycle Factor'!$F$14, $E16&lt;='Launch flag &amp; Life-Cycle Factor'!$E$14),'Launch flag &amp; Life-Cycle Factor'!$H$14,IF(AND($E16&gt;='Launch flag &amp; Life-Cycle Factor'!$F$13, $E16&lt;='Launch flag &amp; Life-Cycle Factor'!$E$13),'Launch flag &amp; Life-Cycle Factor'!$H$13, IF(AND($E16&gt;='Launch flag &amp; Life-Cycle Factor'!$F$12, $E16&lt;='Launch flag &amp; Life-Cycle Factor'!$E$12),'Launch flag &amp; Life-Cycle Factor'!$H$12, IF(AND($E16&gt;='Launch flag &amp; Life-Cycle Factor'!$F$11, $E16&lt;='Launch flag &amp; Life-Cycle Factor'!$E$11),'Launch flag &amp; Life-Cycle Factor'!$H$11, IF(AND($E16&gt;='Launch flag &amp; Life-Cycle Factor'!$F$10, $E16&lt;='Launch flag &amp; Life-Cycle Factor'!$E$10),'Launch flag &amp; Life-Cycle Factor'!$H$10, IF(AND($E16&gt;='Launch flag &amp; Life-Cycle Factor'!$F$9, $E16&lt;='Launch flag &amp; Life-Cycle Factor'!$E$9),'Launch flag &amp; Life-Cycle Factor'!$H$9, IF(AND($E16&gt;='Launch flag &amp; Life-Cycle Factor'!$F$8, $E16&lt;='Launch flag &amp; Life-Cycle Factor'!$E$8),'Launch flag &amp; Life-Cycle Factor'!$H$8, IF(AND($E16&gt;='Launch flag &amp; Life-Cycle Factor'!$F$7, $E16&lt;='Launch flag &amp; Life-Cycle Factor'!$E$7),'Launch flag &amp; Life-Cycle Factor'!$H$7, IF(AND($E16&gt;='Launch flag &amp; Life-Cycle Factor'!$F$6, $E16&lt;='Launch flag &amp; Life-Cycle Factor'!$E$6),'Launch flag &amp; Life-Cycle Factor'!$H$6, "-")))))))))))))))))))</f>
        <v>0.65</v>
      </c>
      <c r="Q16" s="655">
        <f>IF(AND($E16&gt;='Launch flag &amp; Life-Cycle Factor'!$F$24, $E16&lt;='Launch flag &amp; Life-Cycle Factor'!$E$24),'Launch flag &amp; Life-Cycle Factor'!$I$24, IF(AND($E16&gt;='Launch flag &amp; Life-Cycle Factor'!$F$23, $E16&lt;='Launch flag &amp; Life-Cycle Factor'!$E$23),'Launch flag &amp; Life-Cycle Factor'!$I$23, IF(AND($E16&gt;='Launch flag &amp; Life-Cycle Factor'!$F$22, $E16&lt;='Launch flag &amp; Life-Cycle Factor'!$E$22),'Launch flag &amp; Life-Cycle Factor'!$I$22, IF(AND($E16&gt;='Launch flag &amp; Life-Cycle Factor'!$F$21, $E16&lt;='Launch flag &amp; Life-Cycle Factor'!$E$21),'Launch flag &amp; Life-Cycle Factor'!$I$21, IF(AND($E16&gt;='Launch flag &amp; Life-Cycle Factor'!$F$20, $E16&lt;='Launch flag &amp; Life-Cycle Factor'!$E$20),'Launch flag &amp; Life-Cycle Factor'!$I$20, IF(AND($E16&gt;='Launch flag &amp; Life-Cycle Factor'!$F$19, $E16&lt;='Launch flag &amp; Life-Cycle Factor'!$E$19),'Launch flag &amp; Life-Cycle Factor'!$I$19, IF(AND($E16&gt;='Launch flag &amp; Life-Cycle Factor'!$F$18, $E16&lt;='Launch flag &amp; Life-Cycle Factor'!$E$18),'Launch flag &amp; Life-Cycle Factor'!$I$18, IF(AND($E16&gt;='Launch flag &amp; Life-Cycle Factor'!$F$17, $E16&lt;='Launch flag &amp; Life-Cycle Factor'!$E$17),'Launch flag &amp; Life-Cycle Factor'!$I$17, IF(AND($E16&gt;='Launch flag &amp; Life-Cycle Factor'!$F$16, $E16&lt;='Launch flag &amp; Life-Cycle Factor'!$E$16),'Launch flag &amp; Life-Cycle Factor'!$I$16,IF(AND($E16&gt;='Launch flag &amp; Life-Cycle Factor'!$F$15, $E16&lt;='Launch flag &amp; Life-Cycle Factor'!$E$15),'Launch flag &amp; Life-Cycle Factor'!$I$15, IF(AND($E16&gt;='Launch flag &amp; Life-Cycle Factor'!$F$14, $E16&lt;='Launch flag &amp; Life-Cycle Factor'!$E$14),'Launch flag &amp; Life-Cycle Factor'!$I$14,IF(AND($E16&gt;='Launch flag &amp; Life-Cycle Factor'!$F$13, $E16&lt;='Launch flag &amp; Life-Cycle Factor'!$E$13),'Launch flag &amp; Life-Cycle Factor'!$I$13, IF(AND($E16&gt;='Launch flag &amp; Life-Cycle Factor'!$F$12, $E16&lt;='Launch flag &amp; Life-Cycle Factor'!$E$12),'Launch flag &amp; Life-Cycle Factor'!$I$12, IF(AND($E16&gt;='Launch flag &amp; Life-Cycle Factor'!$F$11, $E16&lt;='Launch flag &amp; Life-Cycle Factor'!$E$11),'Launch flag &amp; Life-Cycle Factor'!$I$11, IF(AND($E16&gt;='Launch flag &amp; Life-Cycle Factor'!$F$10, $E16&lt;='Launch flag &amp; Life-Cycle Factor'!$E$10),'Launch flag &amp; Life-Cycle Factor'!$I$10, IF(AND($E16&gt;='Launch flag &amp; Life-Cycle Factor'!$F$9, $E16&lt;='Launch flag &amp; Life-Cycle Factor'!$E$9),'Launch flag &amp; Life-Cycle Factor'!$I$9, IF(AND($E16&gt;='Launch flag &amp; Life-Cycle Factor'!$F$8, $E16&lt;='Launch flag &amp; Life-Cycle Factor'!$E$8),'Launch flag &amp; Life-Cycle Factor'!$I$8, IF(AND($E16&gt;='Launch flag &amp; Life-Cycle Factor'!$F$7, $E16&lt;='Launch flag &amp; Life-Cycle Factor'!$E$7),'Launch flag &amp; Life-Cycle Factor'!$I$7, IF(AND($E16&gt;='Launch flag &amp; Life-Cycle Factor'!$F$6, $E16&lt;='Launch flag &amp; Life-Cycle Factor'!$E$6),'Launch flag &amp; Life-Cycle Factor'!$I$6, "-")))))))))))))))))))</f>
        <v>0.35</v>
      </c>
      <c r="R16" s="662">
        <f t="shared" si="0"/>
        <v>33.800000000000004</v>
      </c>
      <c r="S16" s="663">
        <f t="shared" si="1"/>
        <v>15.049999999999999</v>
      </c>
      <c r="T16" s="242">
        <f t="shared" si="2"/>
        <v>33.800000000000004</v>
      </c>
      <c r="U16" s="243">
        <f t="shared" si="3"/>
        <v>15.049999999999999</v>
      </c>
      <c r="V16" s="837">
        <f t="shared" si="4"/>
        <v>48.85</v>
      </c>
      <c r="W16" s="838">
        <f t="shared" si="5"/>
        <v>48.85</v>
      </c>
      <c r="X16" s="672"/>
    </row>
    <row r="17" spans="2:24" x14ac:dyDescent="0.35">
      <c r="B17" s="186" t="s">
        <v>43</v>
      </c>
      <c r="C17" s="192" t="s">
        <v>96</v>
      </c>
      <c r="D17" s="206" t="str">
        <f>IF(AND($E17&gt;='Launch flag &amp; Life-Cycle Factor'!$F$24, $E17&lt;='Launch flag &amp; Life-Cycle Factor'!$E$24),'Launch flag &amp; Life-Cycle Factor'!$B$24, IF(AND($E17&gt;='Launch flag &amp; Life-Cycle Factor'!$F$23, $E17&lt;='Launch flag &amp; Life-Cycle Factor'!$E$23),'Launch flag &amp; Life-Cycle Factor'!$B$23, IF(AND($E17&gt;='Launch flag &amp; Life-Cycle Factor'!$F$22, $E17&lt;='Launch flag &amp; Life-Cycle Factor'!$E$22),'Launch flag &amp; Life-Cycle Factor'!$B$22, IF(AND($E17&gt;='Launch flag &amp; Life-Cycle Factor'!$F$21, $E17&lt;='Launch flag &amp; Life-Cycle Factor'!$E$21),'Launch flag &amp; Life-Cycle Factor'!$B$21, IF(AND($E17&gt;='Launch flag &amp; Life-Cycle Factor'!$F$20, $E17&lt;='Launch flag &amp; Life-Cycle Factor'!$E$20),'Launch flag &amp; Life-Cycle Factor'!$B$20, IF(AND($E17&gt;='Launch flag &amp; Life-Cycle Factor'!$F$19, $E17&lt;='Launch flag &amp; Life-Cycle Factor'!$E$19),'Launch flag &amp; Life-Cycle Factor'!$B$19, IF(AND($E17&gt;='Launch flag &amp; Life-Cycle Factor'!$F$18, $E17&lt;='Launch flag &amp; Life-Cycle Factor'!$E$18),'Launch flag &amp; Life-Cycle Factor'!$B$18, IF(AND($E17&gt;='Launch flag &amp; Life-Cycle Factor'!$F$17, $E17&lt;='Launch flag &amp; Life-Cycle Factor'!$E$17),'Launch flag &amp; Life-Cycle Factor'!$B$17, IF(AND($E17&gt;='Launch flag &amp; Life-Cycle Factor'!$F$16, $E17&lt;='Launch flag &amp; Life-Cycle Factor'!$E$16),'Launch flag &amp; Life-Cycle Factor'!$B$16,IF(AND($E17&gt;='Launch flag &amp; Life-Cycle Factor'!$F$15, $E17&lt;='Launch flag &amp; Life-Cycle Factor'!$E$15),'Launch flag &amp; Life-Cycle Factor'!$B$15, IF(AND($E17&gt;='Launch flag &amp; Life-Cycle Factor'!$F$14, $E17&lt;='Launch flag &amp; Life-Cycle Factor'!$E$14),'Launch flag &amp; Life-Cycle Factor'!$B$14,IF(AND($E17&gt;='Launch flag &amp; Life-Cycle Factor'!$F$13, $E17&lt;='Launch flag &amp; Life-Cycle Factor'!$E$13),'Launch flag &amp; Life-Cycle Factor'!$B$13, IF(AND($E17&gt;='Launch flag &amp; Life-Cycle Factor'!$F$12, $E17&lt;='Launch flag &amp; Life-Cycle Factor'!$E$12),'Launch flag &amp; Life-Cycle Factor'!$B$12, IF(AND($E17&gt;='Launch flag &amp; Life-Cycle Factor'!$F$11, $E17&lt;='Launch flag &amp; Life-Cycle Factor'!$E$11),'Launch flag &amp; Life-Cycle Factor'!$B$11, IF(AND($E17&gt;='Launch flag &amp; Life-Cycle Factor'!$F$10, $E17&lt;='Launch flag &amp; Life-Cycle Factor'!$E$10),'Launch flag &amp; Life-Cycle Factor'!$B$10, IF(AND($E17&gt;='Launch flag &amp; Life-Cycle Factor'!$F$9, $E17&lt;='Launch flag &amp; Life-Cycle Factor'!$E$9),'Launch flag &amp; Life-Cycle Factor'!$B$9, IF(AND($E17&gt;='Launch flag &amp; Life-Cycle Factor'!$F$8, $E17&lt;='Launch flag &amp; Life-Cycle Factor'!$E$8),'Launch flag &amp; Life-Cycle Factor'!$B$8, IF(AND($E17&gt;='Launch flag &amp; Life-Cycle Factor'!$F$7, $E17&lt;='Launch flag &amp; Life-Cycle Factor'!$E$7),'Launch flag &amp; Life-Cycle Factor'!$B$7, IF(AND($E17&gt;='Launch flag &amp; Life-Cycle Factor'!$F$6, $E17&lt;='Launch flag &amp; Life-Cycle Factor'!$E$6),'Launch flag &amp; Life-Cycle Factor'!$B$6, "-")))))))))))))))))))</f>
        <v>Mature</v>
      </c>
      <c r="E17" s="219">
        <f>INDEX('NPS with launch Dates '!$J$6:$J$59,MATCH('2.  Sales Data Key &amp; Key-Lyn'!$C17,'NPS with launch Dates '!$I$6:$I$59,0))</f>
        <v>43101</v>
      </c>
      <c r="F17" s="197">
        <f>INDEX('Raw Sales Forecasting Data'!$D$11:$H$126,MATCH('2.  Sales Data Key &amp; Key-Lyn'!$C17,'Raw Sales Forecasting Data'!$C$11:$C$126,0),MATCH('2.  Sales Data Key &amp; Key-Lyn'!F$6,'Raw Sales Forecasting Data'!$D$10:$H$10,0))</f>
        <v>82</v>
      </c>
      <c r="G17" s="198">
        <f>INDEX('Raw Sales Forecasting Data'!$D$11:$H$126,MATCH('2.  Sales Data Key &amp; Key-Lyn'!$C17,'Raw Sales Forecasting Data'!$C$11:$C$126,0),MATCH('2.  Sales Data Key &amp; Key-Lyn'!G$6,'Raw Sales Forecasting Data'!$D$10:$H$10,0))</f>
        <v>81</v>
      </c>
      <c r="H17" s="198">
        <f>INDEX('Raw Sales Forecasting Data'!$D$11:$H$126,MATCH('2.  Sales Data Key &amp; Key-Lyn'!$C17,'Raw Sales Forecasting Data'!$C$11:$C$126,0),MATCH('2.  Sales Data Key &amp; Key-Lyn'!H$6,'Raw Sales Forecasting Data'!$D$10:$H$10,0))</f>
        <v>75</v>
      </c>
      <c r="I17" s="198">
        <f>INDEX('Raw Sales Forecasting Data'!$D$11:$H$126,MATCH('2.  Sales Data Key &amp; Key-Lyn'!$C17,'Raw Sales Forecasting Data'!$C$11:$C$126,0),MATCH('2.  Sales Data Key &amp; Key-Lyn'!I$6,'Raw Sales Forecasting Data'!$D$10:$H$10,0))</f>
        <v>66</v>
      </c>
      <c r="J17" s="199">
        <f>INDEX('Raw Sales Forecasting Data'!$D$11:$H$126,MATCH('2.  Sales Data Key &amp; Key-Lyn'!$C17,'Raw Sales Forecasting Data'!$C$11:$C$126,0),MATCH('2.  Sales Data Key &amp; Key-Lyn'!J$6,'Raw Sales Forecasting Data'!$D$10:$H$10,0))</f>
        <v>60</v>
      </c>
      <c r="K17" s="203">
        <f>INDEX('Raw Sales Forecasting Data'!$J$11:$N$126,MATCH('2.  Sales Data Key &amp; Key-Lyn'!$C17,'Raw Sales Forecasting Data'!$C$11:$C$126,0),MATCH('2.  Sales Data Key &amp; Key-Lyn'!K$6,'Raw Sales Forecasting Data'!$J$10:$N$10,0))</f>
        <v>82</v>
      </c>
      <c r="L17" s="198">
        <f>INDEX('Raw Sales Forecasting Data'!$J$11:$N$126,MATCH('2.  Sales Data Key &amp; Key-Lyn'!$C17,'Raw Sales Forecasting Data'!$C$11:$C$126,0),MATCH('2.  Sales Data Key &amp; Key-Lyn'!L$6,'Raw Sales Forecasting Data'!$J$10:$N$10,0))</f>
        <v>81</v>
      </c>
      <c r="M17" s="198">
        <f>INDEX('Raw Sales Forecasting Data'!$J$11:$N$126,MATCH('2.  Sales Data Key &amp; Key-Lyn'!$C17,'Raw Sales Forecasting Data'!$C$11:$C$126,0),MATCH('2.  Sales Data Key &amp; Key-Lyn'!M$6,'Raw Sales Forecasting Data'!$J$10:$N$10,0))</f>
        <v>75</v>
      </c>
      <c r="N17" s="198">
        <f>INDEX('Raw Sales Forecasting Data'!$J$11:$N$126,MATCH('2.  Sales Data Key &amp; Key-Lyn'!$C17,'Raw Sales Forecasting Data'!$C$11:$C$126,0),MATCH('2.  Sales Data Key &amp; Key-Lyn'!N$6,'Raw Sales Forecasting Data'!$J$10:$N$10,0))</f>
        <v>66</v>
      </c>
      <c r="O17" s="238">
        <f>INDEX('Raw Sales Forecasting Data'!$J$11:$N$126,MATCH('2.  Sales Data Key &amp; Key-Lyn'!$C17,'Raw Sales Forecasting Data'!$C$11:$C$126,0),MATCH('2.  Sales Data Key &amp; Key-Lyn'!O$6,'Raw Sales Forecasting Data'!$J$10:$N$10,0))</f>
        <v>60</v>
      </c>
      <c r="P17" s="240">
        <f>IF(AND($E17&gt;='Launch flag &amp; Life-Cycle Factor'!$F$24, $E17&lt;='Launch flag &amp; Life-Cycle Factor'!$E$24),'Launch flag &amp; Life-Cycle Factor'!$H$24, IF(AND($E17&gt;='Launch flag &amp; Life-Cycle Factor'!$F$23, $E17&lt;='Launch flag &amp; Life-Cycle Factor'!$E$23),'Launch flag &amp; Life-Cycle Factor'!$H$23, IF(AND($E17&gt;='Launch flag &amp; Life-Cycle Factor'!$F$22, $E17&lt;='Launch flag &amp; Life-Cycle Factor'!$E$22),'Launch flag &amp; Life-Cycle Factor'!$H$22, IF(AND($E17&gt;='Launch flag &amp; Life-Cycle Factor'!$F$21, $E17&lt;='Launch flag &amp; Life-Cycle Factor'!$E$21),'Launch flag &amp; Life-Cycle Factor'!$H$21, IF(AND($E17&gt;='Launch flag &amp; Life-Cycle Factor'!$F$20, $E17&lt;='Launch flag &amp; Life-Cycle Factor'!$E$20),'Launch flag &amp; Life-Cycle Factor'!$H$20, IF(AND($E17&gt;='Launch flag &amp; Life-Cycle Factor'!$F$19, $E17&lt;='Launch flag &amp; Life-Cycle Factor'!$E$19),'Launch flag &amp; Life-Cycle Factor'!$H$19, IF(AND($E17&gt;='Launch flag &amp; Life-Cycle Factor'!$F$18, $E17&lt;='Launch flag &amp; Life-Cycle Factor'!$E$18),'Launch flag &amp; Life-Cycle Factor'!$H$18, IF(AND($E17&gt;='Launch flag &amp; Life-Cycle Factor'!$F$17, $E17&lt;='Launch flag &amp; Life-Cycle Factor'!$E$17),'Launch flag &amp; Life-Cycle Factor'!$H$17, IF(AND($E17&gt;='Launch flag &amp; Life-Cycle Factor'!$F$16, $E17&lt;='Launch flag &amp; Life-Cycle Factor'!$E$16),'Launch flag &amp; Life-Cycle Factor'!$H$16,IF(AND($E17&gt;='Launch flag &amp; Life-Cycle Factor'!$F$15, $E17&lt;='Launch flag &amp; Life-Cycle Factor'!$E$15),'Launch flag &amp; Life-Cycle Factor'!$H$15, IF(AND($E17&gt;='Launch flag &amp; Life-Cycle Factor'!$F$14, $E17&lt;='Launch flag &amp; Life-Cycle Factor'!$E$14),'Launch flag &amp; Life-Cycle Factor'!$H$14,IF(AND($E17&gt;='Launch flag &amp; Life-Cycle Factor'!$F$13, $E17&lt;='Launch flag &amp; Life-Cycle Factor'!$E$13),'Launch flag &amp; Life-Cycle Factor'!$H$13, IF(AND($E17&gt;='Launch flag &amp; Life-Cycle Factor'!$F$12, $E17&lt;='Launch flag &amp; Life-Cycle Factor'!$E$12),'Launch flag &amp; Life-Cycle Factor'!$H$12, IF(AND($E17&gt;='Launch flag &amp; Life-Cycle Factor'!$F$11, $E17&lt;='Launch flag &amp; Life-Cycle Factor'!$E$11),'Launch flag &amp; Life-Cycle Factor'!$H$11, IF(AND($E17&gt;='Launch flag &amp; Life-Cycle Factor'!$F$10, $E17&lt;='Launch flag &amp; Life-Cycle Factor'!$E$10),'Launch flag &amp; Life-Cycle Factor'!$H$10, IF(AND($E17&gt;='Launch flag &amp; Life-Cycle Factor'!$F$9, $E17&lt;='Launch flag &amp; Life-Cycle Factor'!$E$9),'Launch flag &amp; Life-Cycle Factor'!$H$9, IF(AND($E17&gt;='Launch flag &amp; Life-Cycle Factor'!$F$8, $E17&lt;='Launch flag &amp; Life-Cycle Factor'!$E$8),'Launch flag &amp; Life-Cycle Factor'!$H$8, IF(AND($E17&gt;='Launch flag &amp; Life-Cycle Factor'!$F$7, $E17&lt;='Launch flag &amp; Life-Cycle Factor'!$E$7),'Launch flag &amp; Life-Cycle Factor'!$H$7, IF(AND($E17&gt;='Launch flag &amp; Life-Cycle Factor'!$F$6, $E17&lt;='Launch flag &amp; Life-Cycle Factor'!$E$6),'Launch flag &amp; Life-Cycle Factor'!$H$6, "-")))))))))))))))))))</f>
        <v>0.65</v>
      </c>
      <c r="Q17" s="655">
        <f>IF(AND($E17&gt;='Launch flag &amp; Life-Cycle Factor'!$F$24, $E17&lt;='Launch flag &amp; Life-Cycle Factor'!$E$24),'Launch flag &amp; Life-Cycle Factor'!$I$24, IF(AND($E17&gt;='Launch flag &amp; Life-Cycle Factor'!$F$23, $E17&lt;='Launch flag &amp; Life-Cycle Factor'!$E$23),'Launch flag &amp; Life-Cycle Factor'!$I$23, IF(AND($E17&gt;='Launch flag &amp; Life-Cycle Factor'!$F$22, $E17&lt;='Launch flag &amp; Life-Cycle Factor'!$E$22),'Launch flag &amp; Life-Cycle Factor'!$I$22, IF(AND($E17&gt;='Launch flag &amp; Life-Cycle Factor'!$F$21, $E17&lt;='Launch flag &amp; Life-Cycle Factor'!$E$21),'Launch flag &amp; Life-Cycle Factor'!$I$21, IF(AND($E17&gt;='Launch flag &amp; Life-Cycle Factor'!$F$20, $E17&lt;='Launch flag &amp; Life-Cycle Factor'!$E$20),'Launch flag &amp; Life-Cycle Factor'!$I$20, IF(AND($E17&gt;='Launch flag &amp; Life-Cycle Factor'!$F$19, $E17&lt;='Launch flag &amp; Life-Cycle Factor'!$E$19),'Launch flag &amp; Life-Cycle Factor'!$I$19, IF(AND($E17&gt;='Launch flag &amp; Life-Cycle Factor'!$F$18, $E17&lt;='Launch flag &amp; Life-Cycle Factor'!$E$18),'Launch flag &amp; Life-Cycle Factor'!$I$18, IF(AND($E17&gt;='Launch flag &amp; Life-Cycle Factor'!$F$17, $E17&lt;='Launch flag &amp; Life-Cycle Factor'!$E$17),'Launch flag &amp; Life-Cycle Factor'!$I$17, IF(AND($E17&gt;='Launch flag &amp; Life-Cycle Factor'!$F$16, $E17&lt;='Launch flag &amp; Life-Cycle Factor'!$E$16),'Launch flag &amp; Life-Cycle Factor'!$I$16,IF(AND($E17&gt;='Launch flag &amp; Life-Cycle Factor'!$F$15, $E17&lt;='Launch flag &amp; Life-Cycle Factor'!$E$15),'Launch flag &amp; Life-Cycle Factor'!$I$15, IF(AND($E17&gt;='Launch flag &amp; Life-Cycle Factor'!$F$14, $E17&lt;='Launch flag &amp; Life-Cycle Factor'!$E$14),'Launch flag &amp; Life-Cycle Factor'!$I$14,IF(AND($E17&gt;='Launch flag &amp; Life-Cycle Factor'!$F$13, $E17&lt;='Launch flag &amp; Life-Cycle Factor'!$E$13),'Launch flag &amp; Life-Cycle Factor'!$I$13, IF(AND($E17&gt;='Launch flag &amp; Life-Cycle Factor'!$F$12, $E17&lt;='Launch flag &amp; Life-Cycle Factor'!$E$12),'Launch flag &amp; Life-Cycle Factor'!$I$12, IF(AND($E17&gt;='Launch flag &amp; Life-Cycle Factor'!$F$11, $E17&lt;='Launch flag &amp; Life-Cycle Factor'!$E$11),'Launch flag &amp; Life-Cycle Factor'!$I$11, IF(AND($E17&gt;='Launch flag &amp; Life-Cycle Factor'!$F$10, $E17&lt;='Launch flag &amp; Life-Cycle Factor'!$E$10),'Launch flag &amp; Life-Cycle Factor'!$I$10, IF(AND($E17&gt;='Launch flag &amp; Life-Cycle Factor'!$F$9, $E17&lt;='Launch flag &amp; Life-Cycle Factor'!$E$9),'Launch flag &amp; Life-Cycle Factor'!$I$9, IF(AND($E17&gt;='Launch flag &amp; Life-Cycle Factor'!$F$8, $E17&lt;='Launch flag &amp; Life-Cycle Factor'!$E$8),'Launch flag &amp; Life-Cycle Factor'!$I$8, IF(AND($E17&gt;='Launch flag &amp; Life-Cycle Factor'!$F$7, $E17&lt;='Launch flag &amp; Life-Cycle Factor'!$E$7),'Launch flag &amp; Life-Cycle Factor'!$I$7, IF(AND($E17&gt;='Launch flag &amp; Life-Cycle Factor'!$F$6, $E17&lt;='Launch flag &amp; Life-Cycle Factor'!$E$6),'Launch flag &amp; Life-Cycle Factor'!$I$6, "-")))))))))))))))))))</f>
        <v>0.35</v>
      </c>
      <c r="R17" s="662">
        <f t="shared" si="0"/>
        <v>52.65</v>
      </c>
      <c r="S17" s="663">
        <f t="shared" si="1"/>
        <v>26.25</v>
      </c>
      <c r="T17" s="242">
        <f t="shared" si="2"/>
        <v>52.65</v>
      </c>
      <c r="U17" s="243">
        <f t="shared" si="3"/>
        <v>26.25</v>
      </c>
      <c r="V17" s="837">
        <f t="shared" si="4"/>
        <v>78.900000000000006</v>
      </c>
      <c r="W17" s="838">
        <f t="shared" si="5"/>
        <v>78.900000000000006</v>
      </c>
      <c r="X17" s="672"/>
    </row>
    <row r="18" spans="2:24" x14ac:dyDescent="0.35">
      <c r="B18" s="281" t="s">
        <v>43</v>
      </c>
      <c r="C18" s="622" t="s">
        <v>102</v>
      </c>
      <c r="D18" s="623" t="str">
        <f>IF(AND($E18&gt;='Launch flag &amp; Life-Cycle Factor'!$F$24, $E18&lt;='Launch flag &amp; Life-Cycle Factor'!$E$24),'Launch flag &amp; Life-Cycle Factor'!$B$24, IF(AND($E18&gt;='Launch flag &amp; Life-Cycle Factor'!$F$23, $E18&lt;='Launch flag &amp; Life-Cycle Factor'!$E$23),'Launch flag &amp; Life-Cycle Factor'!$B$23, IF(AND($E18&gt;='Launch flag &amp; Life-Cycle Factor'!$F$22, $E18&lt;='Launch flag &amp; Life-Cycle Factor'!$E$22),'Launch flag &amp; Life-Cycle Factor'!$B$22, IF(AND($E18&gt;='Launch flag &amp; Life-Cycle Factor'!$F$21, $E18&lt;='Launch flag &amp; Life-Cycle Factor'!$E$21),'Launch flag &amp; Life-Cycle Factor'!$B$21, IF(AND($E18&gt;='Launch flag &amp; Life-Cycle Factor'!$F$20, $E18&lt;='Launch flag &amp; Life-Cycle Factor'!$E$20),'Launch flag &amp; Life-Cycle Factor'!$B$20, IF(AND($E18&gt;='Launch flag &amp; Life-Cycle Factor'!$F$19, $E18&lt;='Launch flag &amp; Life-Cycle Factor'!$E$19),'Launch flag &amp; Life-Cycle Factor'!$B$19, IF(AND($E18&gt;='Launch flag &amp; Life-Cycle Factor'!$F$18, $E18&lt;='Launch flag &amp; Life-Cycle Factor'!$E$18),'Launch flag &amp; Life-Cycle Factor'!$B$18, IF(AND($E18&gt;='Launch flag &amp; Life-Cycle Factor'!$F$17, $E18&lt;='Launch flag &amp; Life-Cycle Factor'!$E$17),'Launch flag &amp; Life-Cycle Factor'!$B$17, IF(AND($E18&gt;='Launch flag &amp; Life-Cycle Factor'!$F$16, $E18&lt;='Launch flag &amp; Life-Cycle Factor'!$E$16),'Launch flag &amp; Life-Cycle Factor'!$B$16,IF(AND($E18&gt;='Launch flag &amp; Life-Cycle Factor'!$F$15, $E18&lt;='Launch flag &amp; Life-Cycle Factor'!$E$15),'Launch flag &amp; Life-Cycle Factor'!$B$15, IF(AND($E18&gt;='Launch flag &amp; Life-Cycle Factor'!$F$14, $E18&lt;='Launch flag &amp; Life-Cycle Factor'!$E$14),'Launch flag &amp; Life-Cycle Factor'!$B$14,IF(AND($E18&gt;='Launch flag &amp; Life-Cycle Factor'!$F$13, $E18&lt;='Launch flag &amp; Life-Cycle Factor'!$E$13),'Launch flag &amp; Life-Cycle Factor'!$B$13, IF(AND($E18&gt;='Launch flag &amp; Life-Cycle Factor'!$F$12, $E18&lt;='Launch flag &amp; Life-Cycle Factor'!$E$12),'Launch flag &amp; Life-Cycle Factor'!$B$12, IF(AND($E18&gt;='Launch flag &amp; Life-Cycle Factor'!$F$11, $E18&lt;='Launch flag &amp; Life-Cycle Factor'!$E$11),'Launch flag &amp; Life-Cycle Factor'!$B$11, IF(AND($E18&gt;='Launch flag &amp; Life-Cycle Factor'!$F$10, $E18&lt;='Launch flag &amp; Life-Cycle Factor'!$E$10),'Launch flag &amp; Life-Cycle Factor'!$B$10, IF(AND($E18&gt;='Launch flag &amp; Life-Cycle Factor'!$F$9, $E18&lt;='Launch flag &amp; Life-Cycle Factor'!$E$9),'Launch flag &amp; Life-Cycle Factor'!$B$9, IF(AND($E18&gt;='Launch flag &amp; Life-Cycle Factor'!$F$8, $E18&lt;='Launch flag &amp; Life-Cycle Factor'!$E$8),'Launch flag &amp; Life-Cycle Factor'!$B$8, IF(AND($E18&gt;='Launch flag &amp; Life-Cycle Factor'!$F$7, $E18&lt;='Launch flag &amp; Life-Cycle Factor'!$E$7),'Launch flag &amp; Life-Cycle Factor'!$B$7, IF(AND($E18&gt;='Launch flag &amp; Life-Cycle Factor'!$F$6, $E18&lt;='Launch flag &amp; Life-Cycle Factor'!$E$6),'Launch flag &amp; Life-Cycle Factor'!$B$6, "-")))))))))))))))))))</f>
        <v>-</v>
      </c>
      <c r="E18" s="624">
        <f>INDEX('NPS with launch Dates '!$J$6:$J$59,MATCH('2.  Sales Data Key &amp; Key-Lyn'!$C18,'NPS with launch Dates '!$I$6:$I$59,0))</f>
        <v>46236</v>
      </c>
      <c r="F18" s="625">
        <f>INDEX('Raw Sales Forecasting Data'!$D$11:$H$126,MATCH('2.  Sales Data Key &amp; Key-Lyn'!$C18,'Raw Sales Forecasting Data'!$C$11:$C$126,0),MATCH('2.  Sales Data Key &amp; Key-Lyn'!F$6,'Raw Sales Forecasting Data'!$D$10:$H$10,0))</f>
        <v>0</v>
      </c>
      <c r="G18" s="626">
        <f>INDEX('Raw Sales Forecasting Data'!$D$11:$H$126,MATCH('2.  Sales Data Key &amp; Key-Lyn'!$C18,'Raw Sales Forecasting Data'!$C$11:$C$126,0),MATCH('2.  Sales Data Key &amp; Key-Lyn'!G$6,'Raw Sales Forecasting Data'!$D$10:$H$10,0))</f>
        <v>0</v>
      </c>
      <c r="H18" s="626">
        <f>INDEX('Raw Sales Forecasting Data'!$D$11:$H$126,MATCH('2.  Sales Data Key &amp; Key-Lyn'!$C18,'Raw Sales Forecasting Data'!$C$11:$C$126,0),MATCH('2.  Sales Data Key &amp; Key-Lyn'!H$6,'Raw Sales Forecasting Data'!$D$10:$H$10,0))</f>
        <v>0</v>
      </c>
      <c r="I18" s="626">
        <f>INDEX('Raw Sales Forecasting Data'!$D$11:$H$126,MATCH('2.  Sales Data Key &amp; Key-Lyn'!$C18,'Raw Sales Forecasting Data'!$C$11:$C$126,0),MATCH('2.  Sales Data Key &amp; Key-Lyn'!I$6,'Raw Sales Forecasting Data'!$D$10:$H$10,0))</f>
        <v>2</v>
      </c>
      <c r="J18" s="627">
        <f>INDEX('Raw Sales Forecasting Data'!$D$11:$H$126,MATCH('2.  Sales Data Key &amp; Key-Lyn'!$C18,'Raw Sales Forecasting Data'!$C$11:$C$126,0),MATCH('2.  Sales Data Key &amp; Key-Lyn'!J$6,'Raw Sales Forecasting Data'!$D$10:$H$10,0))</f>
        <v>47</v>
      </c>
      <c r="K18" s="628">
        <f>INDEX('Raw Sales Forecasting Data'!$J$11:$N$126,MATCH('2.  Sales Data Key &amp; Key-Lyn'!$C18,'Raw Sales Forecasting Data'!$C$11:$C$126,0),MATCH('2.  Sales Data Key &amp; Key-Lyn'!K$6,'Raw Sales Forecasting Data'!$J$10:$N$10,0))</f>
        <v>0</v>
      </c>
      <c r="L18" s="626">
        <f>INDEX('Raw Sales Forecasting Data'!$J$11:$N$126,MATCH('2.  Sales Data Key &amp; Key-Lyn'!$C18,'Raw Sales Forecasting Data'!$C$11:$C$126,0),MATCH('2.  Sales Data Key &amp; Key-Lyn'!L$6,'Raw Sales Forecasting Data'!$J$10:$N$10,0))</f>
        <v>0</v>
      </c>
      <c r="M18" s="626">
        <f>INDEX('Raw Sales Forecasting Data'!$J$11:$N$126,MATCH('2.  Sales Data Key &amp; Key-Lyn'!$C18,'Raw Sales Forecasting Data'!$C$11:$C$126,0),MATCH('2.  Sales Data Key &amp; Key-Lyn'!M$6,'Raw Sales Forecasting Data'!$J$10:$N$10,0))</f>
        <v>0</v>
      </c>
      <c r="N18" s="626">
        <f>INDEX('Raw Sales Forecasting Data'!$J$11:$N$126,MATCH('2.  Sales Data Key &amp; Key-Lyn'!$C18,'Raw Sales Forecasting Data'!$C$11:$C$126,0),MATCH('2.  Sales Data Key &amp; Key-Lyn'!N$6,'Raw Sales Forecasting Data'!$J$10:$N$10,0))</f>
        <v>2</v>
      </c>
      <c r="O18" s="629">
        <f>INDEX('Raw Sales Forecasting Data'!$J$11:$N$126,MATCH('2.  Sales Data Key &amp; Key-Lyn'!$C18,'Raw Sales Forecasting Data'!$C$11:$C$126,0),MATCH('2.  Sales Data Key &amp; Key-Lyn'!O$6,'Raw Sales Forecasting Data'!$J$10:$N$10,0))</f>
        <v>47</v>
      </c>
      <c r="P18" s="630" t="str">
        <f>IF(AND($E18&gt;='Launch flag &amp; Life-Cycle Factor'!$F$24, $E18&lt;='Launch flag &amp; Life-Cycle Factor'!$E$24),'Launch flag &amp; Life-Cycle Factor'!$H$24, IF(AND($E18&gt;='Launch flag &amp; Life-Cycle Factor'!$F$23, $E18&lt;='Launch flag &amp; Life-Cycle Factor'!$E$23),'Launch flag &amp; Life-Cycle Factor'!$H$23, IF(AND($E18&gt;='Launch flag &amp; Life-Cycle Factor'!$F$22, $E18&lt;='Launch flag &amp; Life-Cycle Factor'!$E$22),'Launch flag &amp; Life-Cycle Factor'!$H$22, IF(AND($E18&gt;='Launch flag &amp; Life-Cycle Factor'!$F$21, $E18&lt;='Launch flag &amp; Life-Cycle Factor'!$E$21),'Launch flag &amp; Life-Cycle Factor'!$H$21, IF(AND($E18&gt;='Launch flag &amp; Life-Cycle Factor'!$F$20, $E18&lt;='Launch flag &amp; Life-Cycle Factor'!$E$20),'Launch flag &amp; Life-Cycle Factor'!$H$20, IF(AND($E18&gt;='Launch flag &amp; Life-Cycle Factor'!$F$19, $E18&lt;='Launch flag &amp; Life-Cycle Factor'!$E$19),'Launch flag &amp; Life-Cycle Factor'!$H$19, IF(AND($E18&gt;='Launch flag &amp; Life-Cycle Factor'!$F$18, $E18&lt;='Launch flag &amp; Life-Cycle Factor'!$E$18),'Launch flag &amp; Life-Cycle Factor'!$H$18, IF(AND($E18&gt;='Launch flag &amp; Life-Cycle Factor'!$F$17, $E18&lt;='Launch flag &amp; Life-Cycle Factor'!$E$17),'Launch flag &amp; Life-Cycle Factor'!$H$17, IF(AND($E18&gt;='Launch flag &amp; Life-Cycle Factor'!$F$16, $E18&lt;='Launch flag &amp; Life-Cycle Factor'!$E$16),'Launch flag &amp; Life-Cycle Factor'!$H$16,IF(AND($E18&gt;='Launch flag &amp; Life-Cycle Factor'!$F$15, $E18&lt;='Launch flag &amp; Life-Cycle Factor'!$E$15),'Launch flag &amp; Life-Cycle Factor'!$H$15, IF(AND($E18&gt;='Launch flag &amp; Life-Cycle Factor'!$F$14, $E18&lt;='Launch flag &amp; Life-Cycle Factor'!$E$14),'Launch flag &amp; Life-Cycle Factor'!$H$14,IF(AND($E18&gt;='Launch flag &amp; Life-Cycle Factor'!$F$13, $E18&lt;='Launch flag &amp; Life-Cycle Factor'!$E$13),'Launch flag &amp; Life-Cycle Factor'!$H$13, IF(AND($E18&gt;='Launch flag &amp; Life-Cycle Factor'!$F$12, $E18&lt;='Launch flag &amp; Life-Cycle Factor'!$E$12),'Launch flag &amp; Life-Cycle Factor'!$H$12, IF(AND($E18&gt;='Launch flag &amp; Life-Cycle Factor'!$F$11, $E18&lt;='Launch flag &amp; Life-Cycle Factor'!$E$11),'Launch flag &amp; Life-Cycle Factor'!$H$11, IF(AND($E18&gt;='Launch flag &amp; Life-Cycle Factor'!$F$10, $E18&lt;='Launch flag &amp; Life-Cycle Factor'!$E$10),'Launch flag &amp; Life-Cycle Factor'!$H$10, IF(AND($E18&gt;='Launch flag &amp; Life-Cycle Factor'!$F$9, $E18&lt;='Launch flag &amp; Life-Cycle Factor'!$E$9),'Launch flag &amp; Life-Cycle Factor'!$H$9, IF(AND($E18&gt;='Launch flag &amp; Life-Cycle Factor'!$F$8, $E18&lt;='Launch flag &amp; Life-Cycle Factor'!$E$8),'Launch flag &amp; Life-Cycle Factor'!$H$8, IF(AND($E18&gt;='Launch flag &amp; Life-Cycle Factor'!$F$7, $E18&lt;='Launch flag &amp; Life-Cycle Factor'!$E$7),'Launch flag &amp; Life-Cycle Factor'!$H$7, IF(AND($E18&gt;='Launch flag &amp; Life-Cycle Factor'!$F$6, $E18&lt;='Launch flag &amp; Life-Cycle Factor'!$E$6),'Launch flag &amp; Life-Cycle Factor'!$H$6, "-")))))))))))))))))))</f>
        <v>-</v>
      </c>
      <c r="Q18" s="656" t="str">
        <f>IF(AND($E18&gt;='Launch flag &amp; Life-Cycle Factor'!$F$24, $E18&lt;='Launch flag &amp; Life-Cycle Factor'!$E$24),'Launch flag &amp; Life-Cycle Factor'!$I$24, IF(AND($E18&gt;='Launch flag &amp; Life-Cycle Factor'!$F$23, $E18&lt;='Launch flag &amp; Life-Cycle Factor'!$E$23),'Launch flag &amp; Life-Cycle Factor'!$I$23, IF(AND($E18&gt;='Launch flag &amp; Life-Cycle Factor'!$F$22, $E18&lt;='Launch flag &amp; Life-Cycle Factor'!$E$22),'Launch flag &amp; Life-Cycle Factor'!$I$22, IF(AND($E18&gt;='Launch flag &amp; Life-Cycle Factor'!$F$21, $E18&lt;='Launch flag &amp; Life-Cycle Factor'!$E$21),'Launch flag &amp; Life-Cycle Factor'!$I$21, IF(AND($E18&gt;='Launch flag &amp; Life-Cycle Factor'!$F$20, $E18&lt;='Launch flag &amp; Life-Cycle Factor'!$E$20),'Launch flag &amp; Life-Cycle Factor'!$I$20, IF(AND($E18&gt;='Launch flag &amp; Life-Cycle Factor'!$F$19, $E18&lt;='Launch flag &amp; Life-Cycle Factor'!$E$19),'Launch flag &amp; Life-Cycle Factor'!$I$19, IF(AND($E18&gt;='Launch flag &amp; Life-Cycle Factor'!$F$18, $E18&lt;='Launch flag &amp; Life-Cycle Factor'!$E$18),'Launch flag &amp; Life-Cycle Factor'!$I$18, IF(AND($E18&gt;='Launch flag &amp; Life-Cycle Factor'!$F$17, $E18&lt;='Launch flag &amp; Life-Cycle Factor'!$E$17),'Launch flag &amp; Life-Cycle Factor'!$I$17, IF(AND($E18&gt;='Launch flag &amp; Life-Cycle Factor'!$F$16, $E18&lt;='Launch flag &amp; Life-Cycle Factor'!$E$16),'Launch flag &amp; Life-Cycle Factor'!$I$16,IF(AND($E18&gt;='Launch flag &amp; Life-Cycle Factor'!$F$15, $E18&lt;='Launch flag &amp; Life-Cycle Factor'!$E$15),'Launch flag &amp; Life-Cycle Factor'!$I$15, IF(AND($E18&gt;='Launch flag &amp; Life-Cycle Factor'!$F$14, $E18&lt;='Launch flag &amp; Life-Cycle Factor'!$E$14),'Launch flag &amp; Life-Cycle Factor'!$I$14,IF(AND($E18&gt;='Launch flag &amp; Life-Cycle Factor'!$F$13, $E18&lt;='Launch flag &amp; Life-Cycle Factor'!$E$13),'Launch flag &amp; Life-Cycle Factor'!$I$13, IF(AND($E18&gt;='Launch flag &amp; Life-Cycle Factor'!$F$12, $E18&lt;='Launch flag &amp; Life-Cycle Factor'!$E$12),'Launch flag &amp; Life-Cycle Factor'!$I$12, IF(AND($E18&gt;='Launch flag &amp; Life-Cycle Factor'!$F$11, $E18&lt;='Launch flag &amp; Life-Cycle Factor'!$E$11),'Launch flag &amp; Life-Cycle Factor'!$I$11, IF(AND($E18&gt;='Launch flag &amp; Life-Cycle Factor'!$F$10, $E18&lt;='Launch flag &amp; Life-Cycle Factor'!$E$10),'Launch flag &amp; Life-Cycle Factor'!$I$10, IF(AND($E18&gt;='Launch flag &amp; Life-Cycle Factor'!$F$9, $E18&lt;='Launch flag &amp; Life-Cycle Factor'!$E$9),'Launch flag &amp; Life-Cycle Factor'!$I$9, IF(AND($E18&gt;='Launch flag &amp; Life-Cycle Factor'!$F$8, $E18&lt;='Launch flag &amp; Life-Cycle Factor'!$E$8),'Launch flag &amp; Life-Cycle Factor'!$I$8, IF(AND($E18&gt;='Launch flag &amp; Life-Cycle Factor'!$F$7, $E18&lt;='Launch flag &amp; Life-Cycle Factor'!$E$7),'Launch flag &amp; Life-Cycle Factor'!$I$7, IF(AND($E18&gt;='Launch flag &amp; Life-Cycle Factor'!$F$6, $E18&lt;='Launch flag &amp; Life-Cycle Factor'!$E$6),'Launch flag &amp; Life-Cycle Factor'!$I$6, "-")))))))))))))))))))</f>
        <v>-</v>
      </c>
      <c r="R18" s="664" t="str">
        <f t="shared" si="0"/>
        <v>-</v>
      </c>
      <c r="S18" s="665" t="str">
        <f t="shared" si="1"/>
        <v>-</v>
      </c>
      <c r="T18" s="631" t="str">
        <f t="shared" si="2"/>
        <v>-</v>
      </c>
      <c r="U18" s="632" t="str">
        <f t="shared" si="3"/>
        <v>-</v>
      </c>
      <c r="V18" s="839" t="str">
        <f t="shared" si="4"/>
        <v>-</v>
      </c>
      <c r="W18" s="840" t="str">
        <f t="shared" si="5"/>
        <v>-</v>
      </c>
      <c r="X18" s="863" t="s">
        <v>1177</v>
      </c>
    </row>
    <row r="19" spans="2:24" x14ac:dyDescent="0.35">
      <c r="B19" s="186" t="s">
        <v>43</v>
      </c>
      <c r="C19" s="192" t="s">
        <v>108</v>
      </c>
      <c r="D19" s="206" t="str">
        <f>IF(AND($E19&gt;='Launch flag &amp; Life-Cycle Factor'!$F$24, $E19&lt;='Launch flag &amp; Life-Cycle Factor'!$E$24),'Launch flag &amp; Life-Cycle Factor'!$B$24, IF(AND($E19&gt;='Launch flag &amp; Life-Cycle Factor'!$F$23, $E19&lt;='Launch flag &amp; Life-Cycle Factor'!$E$23),'Launch flag &amp; Life-Cycle Factor'!$B$23, IF(AND($E19&gt;='Launch flag &amp; Life-Cycle Factor'!$F$22, $E19&lt;='Launch flag &amp; Life-Cycle Factor'!$E$22),'Launch flag &amp; Life-Cycle Factor'!$B$22, IF(AND($E19&gt;='Launch flag &amp; Life-Cycle Factor'!$F$21, $E19&lt;='Launch flag &amp; Life-Cycle Factor'!$E$21),'Launch flag &amp; Life-Cycle Factor'!$B$21, IF(AND($E19&gt;='Launch flag &amp; Life-Cycle Factor'!$F$20, $E19&lt;='Launch flag &amp; Life-Cycle Factor'!$E$20),'Launch flag &amp; Life-Cycle Factor'!$B$20, IF(AND($E19&gt;='Launch flag &amp; Life-Cycle Factor'!$F$19, $E19&lt;='Launch flag &amp; Life-Cycle Factor'!$E$19),'Launch flag &amp; Life-Cycle Factor'!$B$19, IF(AND($E19&gt;='Launch flag &amp; Life-Cycle Factor'!$F$18, $E19&lt;='Launch flag &amp; Life-Cycle Factor'!$E$18),'Launch flag &amp; Life-Cycle Factor'!$B$18, IF(AND($E19&gt;='Launch flag &amp; Life-Cycle Factor'!$F$17, $E19&lt;='Launch flag &amp; Life-Cycle Factor'!$E$17),'Launch flag &amp; Life-Cycle Factor'!$B$17, IF(AND($E19&gt;='Launch flag &amp; Life-Cycle Factor'!$F$16, $E19&lt;='Launch flag &amp; Life-Cycle Factor'!$E$16),'Launch flag &amp; Life-Cycle Factor'!$B$16,IF(AND($E19&gt;='Launch flag &amp; Life-Cycle Factor'!$F$15, $E19&lt;='Launch flag &amp; Life-Cycle Factor'!$E$15),'Launch flag &amp; Life-Cycle Factor'!$B$15, IF(AND($E19&gt;='Launch flag &amp; Life-Cycle Factor'!$F$14, $E19&lt;='Launch flag &amp; Life-Cycle Factor'!$E$14),'Launch flag &amp; Life-Cycle Factor'!$B$14,IF(AND($E19&gt;='Launch flag &amp; Life-Cycle Factor'!$F$13, $E19&lt;='Launch flag &amp; Life-Cycle Factor'!$E$13),'Launch flag &amp; Life-Cycle Factor'!$B$13, IF(AND($E19&gt;='Launch flag &amp; Life-Cycle Factor'!$F$12, $E19&lt;='Launch flag &amp; Life-Cycle Factor'!$E$12),'Launch flag &amp; Life-Cycle Factor'!$B$12, IF(AND($E19&gt;='Launch flag &amp; Life-Cycle Factor'!$F$11, $E19&lt;='Launch flag &amp; Life-Cycle Factor'!$E$11),'Launch flag &amp; Life-Cycle Factor'!$B$11, IF(AND($E19&gt;='Launch flag &amp; Life-Cycle Factor'!$F$10, $E19&lt;='Launch flag &amp; Life-Cycle Factor'!$E$10),'Launch flag &amp; Life-Cycle Factor'!$B$10, IF(AND($E19&gt;='Launch flag &amp; Life-Cycle Factor'!$F$9, $E19&lt;='Launch flag &amp; Life-Cycle Factor'!$E$9),'Launch flag &amp; Life-Cycle Factor'!$B$9, IF(AND($E19&gt;='Launch flag &amp; Life-Cycle Factor'!$F$8, $E19&lt;='Launch flag &amp; Life-Cycle Factor'!$E$8),'Launch flag &amp; Life-Cycle Factor'!$B$8, IF(AND($E19&gt;='Launch flag &amp; Life-Cycle Factor'!$F$7, $E19&lt;='Launch flag &amp; Life-Cycle Factor'!$E$7),'Launch flag &amp; Life-Cycle Factor'!$B$7, IF(AND($E19&gt;='Launch flag &amp; Life-Cycle Factor'!$F$6, $E19&lt;='Launch flag &amp; Life-Cycle Factor'!$E$6),'Launch flag &amp; Life-Cycle Factor'!$B$6, "-")))))))))))))))))))</f>
        <v>Established</v>
      </c>
      <c r="E19" s="219">
        <f>INDEX('NPS with launch Dates '!$J$6:$J$59,MATCH('2.  Sales Data Key &amp; Key-Lyn'!$C19,'NPS with launch Dates '!$I$6:$I$59,0))</f>
        <v>44256</v>
      </c>
      <c r="F19" s="197">
        <f>INDEX('Raw Sales Forecasting Data'!$D$11:$H$126,MATCH('2.  Sales Data Key &amp; Key-Lyn'!$C19,'Raw Sales Forecasting Data'!$C$11:$C$126,0),MATCH('2.  Sales Data Key &amp; Key-Lyn'!F$6,'Raw Sales Forecasting Data'!$D$10:$H$10,0))</f>
        <v>168</v>
      </c>
      <c r="G19" s="198">
        <f>INDEX('Raw Sales Forecasting Data'!$D$11:$H$126,MATCH('2.  Sales Data Key &amp; Key-Lyn'!$C19,'Raw Sales Forecasting Data'!$C$11:$C$126,0),MATCH('2.  Sales Data Key &amp; Key-Lyn'!G$6,'Raw Sales Forecasting Data'!$D$10:$H$10,0))</f>
        <v>185</v>
      </c>
      <c r="H19" s="198">
        <f>INDEX('Raw Sales Forecasting Data'!$D$11:$H$126,MATCH('2.  Sales Data Key &amp; Key-Lyn'!$C19,'Raw Sales Forecasting Data'!$C$11:$C$126,0),MATCH('2.  Sales Data Key &amp; Key-Lyn'!H$6,'Raw Sales Forecasting Data'!$D$10:$H$10,0))</f>
        <v>191</v>
      </c>
      <c r="I19" s="198">
        <f>INDEX('Raw Sales Forecasting Data'!$D$11:$H$126,MATCH('2.  Sales Data Key &amp; Key-Lyn'!$C19,'Raw Sales Forecasting Data'!$C$11:$C$126,0),MATCH('2.  Sales Data Key &amp; Key-Lyn'!I$6,'Raw Sales Forecasting Data'!$D$10:$H$10,0))</f>
        <v>196</v>
      </c>
      <c r="J19" s="199">
        <f>INDEX('Raw Sales Forecasting Data'!$D$11:$H$126,MATCH('2.  Sales Data Key &amp; Key-Lyn'!$C19,'Raw Sales Forecasting Data'!$C$11:$C$126,0),MATCH('2.  Sales Data Key &amp; Key-Lyn'!J$6,'Raw Sales Forecasting Data'!$D$10:$H$10,0))</f>
        <v>200</v>
      </c>
      <c r="K19" s="203">
        <f>INDEX('Raw Sales Forecasting Data'!$J$11:$N$126,MATCH('2.  Sales Data Key &amp; Key-Lyn'!$C19,'Raw Sales Forecasting Data'!$C$11:$C$126,0),MATCH('2.  Sales Data Key &amp; Key-Lyn'!K$6,'Raw Sales Forecasting Data'!$J$10:$N$10,0))</f>
        <v>168</v>
      </c>
      <c r="L19" s="198">
        <f>INDEX('Raw Sales Forecasting Data'!$J$11:$N$126,MATCH('2.  Sales Data Key &amp; Key-Lyn'!$C19,'Raw Sales Forecasting Data'!$C$11:$C$126,0),MATCH('2.  Sales Data Key &amp; Key-Lyn'!L$6,'Raw Sales Forecasting Data'!$J$10:$N$10,0))</f>
        <v>185</v>
      </c>
      <c r="M19" s="198">
        <f>INDEX('Raw Sales Forecasting Data'!$J$11:$N$126,MATCH('2.  Sales Data Key &amp; Key-Lyn'!$C19,'Raw Sales Forecasting Data'!$C$11:$C$126,0),MATCH('2.  Sales Data Key &amp; Key-Lyn'!M$6,'Raw Sales Forecasting Data'!$J$10:$N$10,0))</f>
        <v>191</v>
      </c>
      <c r="N19" s="198">
        <f>INDEX('Raw Sales Forecasting Data'!$J$11:$N$126,MATCH('2.  Sales Data Key &amp; Key-Lyn'!$C19,'Raw Sales Forecasting Data'!$C$11:$C$126,0),MATCH('2.  Sales Data Key &amp; Key-Lyn'!N$6,'Raw Sales Forecasting Data'!$J$10:$N$10,0))</f>
        <v>196</v>
      </c>
      <c r="O19" s="238">
        <f>INDEX('Raw Sales Forecasting Data'!$J$11:$N$126,MATCH('2.  Sales Data Key &amp; Key-Lyn'!$C19,'Raw Sales Forecasting Data'!$C$11:$C$126,0),MATCH('2.  Sales Data Key &amp; Key-Lyn'!O$6,'Raw Sales Forecasting Data'!$J$10:$N$10,0))</f>
        <v>200</v>
      </c>
      <c r="P19" s="240">
        <f>IF(AND($E19&gt;='Launch flag &amp; Life-Cycle Factor'!$F$24, $E19&lt;='Launch flag &amp; Life-Cycle Factor'!$E$24),'Launch flag &amp; Life-Cycle Factor'!$H$24, IF(AND($E19&gt;='Launch flag &amp; Life-Cycle Factor'!$F$23, $E19&lt;='Launch flag &amp; Life-Cycle Factor'!$E$23),'Launch flag &amp; Life-Cycle Factor'!$H$23, IF(AND($E19&gt;='Launch flag &amp; Life-Cycle Factor'!$F$22, $E19&lt;='Launch flag &amp; Life-Cycle Factor'!$E$22),'Launch flag &amp; Life-Cycle Factor'!$H$22, IF(AND($E19&gt;='Launch flag &amp; Life-Cycle Factor'!$F$21, $E19&lt;='Launch flag &amp; Life-Cycle Factor'!$E$21),'Launch flag &amp; Life-Cycle Factor'!$H$21, IF(AND($E19&gt;='Launch flag &amp; Life-Cycle Factor'!$F$20, $E19&lt;='Launch flag &amp; Life-Cycle Factor'!$E$20),'Launch flag &amp; Life-Cycle Factor'!$H$20, IF(AND($E19&gt;='Launch flag &amp; Life-Cycle Factor'!$F$19, $E19&lt;='Launch flag &amp; Life-Cycle Factor'!$E$19),'Launch flag &amp; Life-Cycle Factor'!$H$19, IF(AND($E19&gt;='Launch flag &amp; Life-Cycle Factor'!$F$18, $E19&lt;='Launch flag &amp; Life-Cycle Factor'!$E$18),'Launch flag &amp; Life-Cycle Factor'!$H$18, IF(AND($E19&gt;='Launch flag &amp; Life-Cycle Factor'!$F$17, $E19&lt;='Launch flag &amp; Life-Cycle Factor'!$E$17),'Launch flag &amp; Life-Cycle Factor'!$H$17, IF(AND($E19&gt;='Launch flag &amp; Life-Cycle Factor'!$F$16, $E19&lt;='Launch flag &amp; Life-Cycle Factor'!$E$16),'Launch flag &amp; Life-Cycle Factor'!$H$16,IF(AND($E19&gt;='Launch flag &amp; Life-Cycle Factor'!$F$15, $E19&lt;='Launch flag &amp; Life-Cycle Factor'!$E$15),'Launch flag &amp; Life-Cycle Factor'!$H$15, IF(AND($E19&gt;='Launch flag &amp; Life-Cycle Factor'!$F$14, $E19&lt;='Launch flag &amp; Life-Cycle Factor'!$E$14),'Launch flag &amp; Life-Cycle Factor'!$H$14,IF(AND($E19&gt;='Launch flag &amp; Life-Cycle Factor'!$F$13, $E19&lt;='Launch flag &amp; Life-Cycle Factor'!$E$13),'Launch flag &amp; Life-Cycle Factor'!$H$13, IF(AND($E19&gt;='Launch flag &amp; Life-Cycle Factor'!$F$12, $E19&lt;='Launch flag &amp; Life-Cycle Factor'!$E$12),'Launch flag &amp; Life-Cycle Factor'!$H$12, IF(AND($E19&gt;='Launch flag &amp; Life-Cycle Factor'!$F$11, $E19&lt;='Launch flag &amp; Life-Cycle Factor'!$E$11),'Launch flag &amp; Life-Cycle Factor'!$H$11, IF(AND($E19&gt;='Launch flag &amp; Life-Cycle Factor'!$F$10, $E19&lt;='Launch flag &amp; Life-Cycle Factor'!$E$10),'Launch flag &amp; Life-Cycle Factor'!$H$10, IF(AND($E19&gt;='Launch flag &amp; Life-Cycle Factor'!$F$9, $E19&lt;='Launch flag &amp; Life-Cycle Factor'!$E$9),'Launch flag &amp; Life-Cycle Factor'!$H$9, IF(AND($E19&gt;='Launch flag &amp; Life-Cycle Factor'!$F$8, $E19&lt;='Launch flag &amp; Life-Cycle Factor'!$E$8),'Launch flag &amp; Life-Cycle Factor'!$H$8, IF(AND($E19&gt;='Launch flag &amp; Life-Cycle Factor'!$F$7, $E19&lt;='Launch flag &amp; Life-Cycle Factor'!$E$7),'Launch flag &amp; Life-Cycle Factor'!$H$7, IF(AND($E19&gt;='Launch flag &amp; Life-Cycle Factor'!$F$6, $E19&lt;='Launch flag &amp; Life-Cycle Factor'!$E$6),'Launch flag &amp; Life-Cycle Factor'!$H$6, "-")))))))))))))))))))</f>
        <v>0.65</v>
      </c>
      <c r="Q19" s="655">
        <f>IF(AND($E19&gt;='Launch flag &amp; Life-Cycle Factor'!$F$24, $E19&lt;='Launch flag &amp; Life-Cycle Factor'!$E$24),'Launch flag &amp; Life-Cycle Factor'!$I$24, IF(AND($E19&gt;='Launch flag &amp; Life-Cycle Factor'!$F$23, $E19&lt;='Launch flag &amp; Life-Cycle Factor'!$E$23),'Launch flag &amp; Life-Cycle Factor'!$I$23, IF(AND($E19&gt;='Launch flag &amp; Life-Cycle Factor'!$F$22, $E19&lt;='Launch flag &amp; Life-Cycle Factor'!$E$22),'Launch flag &amp; Life-Cycle Factor'!$I$22, IF(AND($E19&gt;='Launch flag &amp; Life-Cycle Factor'!$F$21, $E19&lt;='Launch flag &amp; Life-Cycle Factor'!$E$21),'Launch flag &amp; Life-Cycle Factor'!$I$21, IF(AND($E19&gt;='Launch flag &amp; Life-Cycle Factor'!$F$20, $E19&lt;='Launch flag &amp; Life-Cycle Factor'!$E$20),'Launch flag &amp; Life-Cycle Factor'!$I$20, IF(AND($E19&gt;='Launch flag &amp; Life-Cycle Factor'!$F$19, $E19&lt;='Launch flag &amp; Life-Cycle Factor'!$E$19),'Launch flag &amp; Life-Cycle Factor'!$I$19, IF(AND($E19&gt;='Launch flag &amp; Life-Cycle Factor'!$F$18, $E19&lt;='Launch flag &amp; Life-Cycle Factor'!$E$18),'Launch flag &amp; Life-Cycle Factor'!$I$18, IF(AND($E19&gt;='Launch flag &amp; Life-Cycle Factor'!$F$17, $E19&lt;='Launch flag &amp; Life-Cycle Factor'!$E$17),'Launch flag &amp; Life-Cycle Factor'!$I$17, IF(AND($E19&gt;='Launch flag &amp; Life-Cycle Factor'!$F$16, $E19&lt;='Launch flag &amp; Life-Cycle Factor'!$E$16),'Launch flag &amp; Life-Cycle Factor'!$I$16,IF(AND($E19&gt;='Launch flag &amp; Life-Cycle Factor'!$F$15, $E19&lt;='Launch flag &amp; Life-Cycle Factor'!$E$15),'Launch flag &amp; Life-Cycle Factor'!$I$15, IF(AND($E19&gt;='Launch flag &amp; Life-Cycle Factor'!$F$14, $E19&lt;='Launch flag &amp; Life-Cycle Factor'!$E$14),'Launch flag &amp; Life-Cycle Factor'!$I$14,IF(AND($E19&gt;='Launch flag &amp; Life-Cycle Factor'!$F$13, $E19&lt;='Launch flag &amp; Life-Cycle Factor'!$E$13),'Launch flag &amp; Life-Cycle Factor'!$I$13, IF(AND($E19&gt;='Launch flag &amp; Life-Cycle Factor'!$F$12, $E19&lt;='Launch flag &amp; Life-Cycle Factor'!$E$12),'Launch flag &amp; Life-Cycle Factor'!$I$12, IF(AND($E19&gt;='Launch flag &amp; Life-Cycle Factor'!$F$11, $E19&lt;='Launch flag &amp; Life-Cycle Factor'!$E$11),'Launch flag &amp; Life-Cycle Factor'!$I$11, IF(AND($E19&gt;='Launch flag &amp; Life-Cycle Factor'!$F$10, $E19&lt;='Launch flag &amp; Life-Cycle Factor'!$E$10),'Launch flag &amp; Life-Cycle Factor'!$I$10, IF(AND($E19&gt;='Launch flag &amp; Life-Cycle Factor'!$F$9, $E19&lt;='Launch flag &amp; Life-Cycle Factor'!$E$9),'Launch flag &amp; Life-Cycle Factor'!$I$9, IF(AND($E19&gt;='Launch flag &amp; Life-Cycle Factor'!$F$8, $E19&lt;='Launch flag &amp; Life-Cycle Factor'!$E$8),'Launch flag &amp; Life-Cycle Factor'!$I$8, IF(AND($E19&gt;='Launch flag &amp; Life-Cycle Factor'!$F$7, $E19&lt;='Launch flag &amp; Life-Cycle Factor'!$E$7),'Launch flag &amp; Life-Cycle Factor'!$I$7, IF(AND($E19&gt;='Launch flag &amp; Life-Cycle Factor'!$F$6, $E19&lt;='Launch flag &amp; Life-Cycle Factor'!$E$6),'Launch flag &amp; Life-Cycle Factor'!$I$6, "-")))))))))))))))))))</f>
        <v>0.35</v>
      </c>
      <c r="R19" s="662">
        <f t="shared" si="0"/>
        <v>120.25</v>
      </c>
      <c r="S19" s="663">
        <f t="shared" si="1"/>
        <v>66.849999999999994</v>
      </c>
      <c r="T19" s="242">
        <f t="shared" si="2"/>
        <v>120.25</v>
      </c>
      <c r="U19" s="243">
        <f t="shared" si="3"/>
        <v>66.849999999999994</v>
      </c>
      <c r="V19" s="837">
        <f t="shared" si="4"/>
        <v>187.1</v>
      </c>
      <c r="W19" s="838">
        <f t="shared" si="5"/>
        <v>187.1</v>
      </c>
      <c r="X19" s="672"/>
    </row>
    <row r="20" spans="2:24" x14ac:dyDescent="0.35">
      <c r="B20" s="186" t="s">
        <v>43</v>
      </c>
      <c r="C20" s="192" t="s">
        <v>110</v>
      </c>
      <c r="D20" s="206" t="str">
        <f>IF(AND($E20&gt;='Launch flag &amp; Life-Cycle Factor'!$F$24, $E20&lt;='Launch flag &amp; Life-Cycle Factor'!$E$24),'Launch flag &amp; Life-Cycle Factor'!$B$24, IF(AND($E20&gt;='Launch flag &amp; Life-Cycle Factor'!$F$23, $E20&lt;='Launch flag &amp; Life-Cycle Factor'!$E$23),'Launch flag &amp; Life-Cycle Factor'!$B$23, IF(AND($E20&gt;='Launch flag &amp; Life-Cycle Factor'!$F$22, $E20&lt;='Launch flag &amp; Life-Cycle Factor'!$E$22),'Launch flag &amp; Life-Cycle Factor'!$B$22, IF(AND($E20&gt;='Launch flag &amp; Life-Cycle Factor'!$F$21, $E20&lt;='Launch flag &amp; Life-Cycle Factor'!$E$21),'Launch flag &amp; Life-Cycle Factor'!$B$21, IF(AND($E20&gt;='Launch flag &amp; Life-Cycle Factor'!$F$20, $E20&lt;='Launch flag &amp; Life-Cycle Factor'!$E$20),'Launch flag &amp; Life-Cycle Factor'!$B$20, IF(AND($E20&gt;='Launch flag &amp; Life-Cycle Factor'!$F$19, $E20&lt;='Launch flag &amp; Life-Cycle Factor'!$E$19),'Launch flag &amp; Life-Cycle Factor'!$B$19, IF(AND($E20&gt;='Launch flag &amp; Life-Cycle Factor'!$F$18, $E20&lt;='Launch flag &amp; Life-Cycle Factor'!$E$18),'Launch flag &amp; Life-Cycle Factor'!$B$18, IF(AND($E20&gt;='Launch flag &amp; Life-Cycle Factor'!$F$17, $E20&lt;='Launch flag &amp; Life-Cycle Factor'!$E$17),'Launch flag &amp; Life-Cycle Factor'!$B$17, IF(AND($E20&gt;='Launch flag &amp; Life-Cycle Factor'!$F$16, $E20&lt;='Launch flag &amp; Life-Cycle Factor'!$E$16),'Launch flag &amp; Life-Cycle Factor'!$B$16,IF(AND($E20&gt;='Launch flag &amp; Life-Cycle Factor'!$F$15, $E20&lt;='Launch flag &amp; Life-Cycle Factor'!$E$15),'Launch flag &amp; Life-Cycle Factor'!$B$15, IF(AND($E20&gt;='Launch flag &amp; Life-Cycle Factor'!$F$14, $E20&lt;='Launch flag &amp; Life-Cycle Factor'!$E$14),'Launch flag &amp; Life-Cycle Factor'!$B$14,IF(AND($E20&gt;='Launch flag &amp; Life-Cycle Factor'!$F$13, $E20&lt;='Launch flag &amp; Life-Cycle Factor'!$E$13),'Launch flag &amp; Life-Cycle Factor'!$B$13, IF(AND($E20&gt;='Launch flag &amp; Life-Cycle Factor'!$F$12, $E20&lt;='Launch flag &amp; Life-Cycle Factor'!$E$12),'Launch flag &amp; Life-Cycle Factor'!$B$12, IF(AND($E20&gt;='Launch flag &amp; Life-Cycle Factor'!$F$11, $E20&lt;='Launch flag &amp; Life-Cycle Factor'!$E$11),'Launch flag &amp; Life-Cycle Factor'!$B$11, IF(AND($E20&gt;='Launch flag &amp; Life-Cycle Factor'!$F$10, $E20&lt;='Launch flag &amp; Life-Cycle Factor'!$E$10),'Launch flag &amp; Life-Cycle Factor'!$B$10, IF(AND($E20&gt;='Launch flag &amp; Life-Cycle Factor'!$F$9, $E20&lt;='Launch flag &amp; Life-Cycle Factor'!$E$9),'Launch flag &amp; Life-Cycle Factor'!$B$9, IF(AND($E20&gt;='Launch flag &amp; Life-Cycle Factor'!$F$8, $E20&lt;='Launch flag &amp; Life-Cycle Factor'!$E$8),'Launch flag &amp; Life-Cycle Factor'!$B$8, IF(AND($E20&gt;='Launch flag &amp; Life-Cycle Factor'!$F$7, $E20&lt;='Launch flag &amp; Life-Cycle Factor'!$E$7),'Launch flag &amp; Life-Cycle Factor'!$B$7, IF(AND($E20&gt;='Launch flag &amp; Life-Cycle Factor'!$F$6, $E20&lt;='Launch flag &amp; Life-Cycle Factor'!$E$6),'Launch flag &amp; Life-Cycle Factor'!$B$6, "-")))))))))))))))))))</f>
        <v>Mature</v>
      </c>
      <c r="E20" s="219">
        <f>INDEX('NPS with launch Dates '!$J$6:$J$59,MATCH('2.  Sales Data Key &amp; Key-Lyn'!$C20,'NPS with launch Dates '!$I$6:$I$59,0))</f>
        <v>43678</v>
      </c>
      <c r="F20" s="197">
        <f>INDEX('Raw Sales Forecasting Data'!$D$11:$H$126,MATCH('2.  Sales Data Key &amp; Key-Lyn'!$C20,'Raw Sales Forecasting Data'!$C$11:$C$126,0),MATCH('2.  Sales Data Key &amp; Key-Lyn'!F$6,'Raw Sales Forecasting Data'!$D$10:$H$10,0))</f>
        <v>85</v>
      </c>
      <c r="G20" s="198">
        <f>INDEX('Raw Sales Forecasting Data'!$D$11:$H$126,MATCH('2.  Sales Data Key &amp; Key-Lyn'!$C20,'Raw Sales Forecasting Data'!$C$11:$C$126,0),MATCH('2.  Sales Data Key &amp; Key-Lyn'!G$6,'Raw Sales Forecasting Data'!$D$10:$H$10,0))</f>
        <v>78</v>
      </c>
      <c r="H20" s="198">
        <f>INDEX('Raw Sales Forecasting Data'!$D$11:$H$126,MATCH('2.  Sales Data Key &amp; Key-Lyn'!$C20,'Raw Sales Forecasting Data'!$C$11:$C$126,0),MATCH('2.  Sales Data Key &amp; Key-Lyn'!H$6,'Raw Sales Forecasting Data'!$D$10:$H$10,0))</f>
        <v>79</v>
      </c>
      <c r="I20" s="198">
        <f>INDEX('Raw Sales Forecasting Data'!$D$11:$H$126,MATCH('2.  Sales Data Key &amp; Key-Lyn'!$C20,'Raw Sales Forecasting Data'!$C$11:$C$126,0),MATCH('2.  Sales Data Key &amp; Key-Lyn'!I$6,'Raw Sales Forecasting Data'!$D$10:$H$10,0))</f>
        <v>82</v>
      </c>
      <c r="J20" s="199">
        <f>INDEX('Raw Sales Forecasting Data'!$D$11:$H$126,MATCH('2.  Sales Data Key &amp; Key-Lyn'!$C20,'Raw Sales Forecasting Data'!$C$11:$C$126,0),MATCH('2.  Sales Data Key &amp; Key-Lyn'!J$6,'Raw Sales Forecasting Data'!$D$10:$H$10,0))</f>
        <v>86</v>
      </c>
      <c r="K20" s="203">
        <f>INDEX('Raw Sales Forecasting Data'!$J$11:$N$126,MATCH('2.  Sales Data Key &amp; Key-Lyn'!$C20,'Raw Sales Forecasting Data'!$C$11:$C$126,0),MATCH('2.  Sales Data Key &amp; Key-Lyn'!K$6,'Raw Sales Forecasting Data'!$J$10:$N$10,0))</f>
        <v>85</v>
      </c>
      <c r="L20" s="198">
        <f>INDEX('Raw Sales Forecasting Data'!$J$11:$N$126,MATCH('2.  Sales Data Key &amp; Key-Lyn'!$C20,'Raw Sales Forecasting Data'!$C$11:$C$126,0),MATCH('2.  Sales Data Key &amp; Key-Lyn'!L$6,'Raw Sales Forecasting Data'!$J$10:$N$10,0))</f>
        <v>78</v>
      </c>
      <c r="M20" s="198">
        <f>INDEX('Raw Sales Forecasting Data'!$J$11:$N$126,MATCH('2.  Sales Data Key &amp; Key-Lyn'!$C20,'Raw Sales Forecasting Data'!$C$11:$C$126,0),MATCH('2.  Sales Data Key &amp; Key-Lyn'!M$6,'Raw Sales Forecasting Data'!$J$10:$N$10,0))</f>
        <v>79</v>
      </c>
      <c r="N20" s="198">
        <f>INDEX('Raw Sales Forecasting Data'!$J$11:$N$126,MATCH('2.  Sales Data Key &amp; Key-Lyn'!$C20,'Raw Sales Forecasting Data'!$C$11:$C$126,0),MATCH('2.  Sales Data Key &amp; Key-Lyn'!N$6,'Raw Sales Forecasting Data'!$J$10:$N$10,0))</f>
        <v>82</v>
      </c>
      <c r="O20" s="238">
        <f>INDEX('Raw Sales Forecasting Data'!$J$11:$N$126,MATCH('2.  Sales Data Key &amp; Key-Lyn'!$C20,'Raw Sales Forecasting Data'!$C$11:$C$126,0),MATCH('2.  Sales Data Key &amp; Key-Lyn'!O$6,'Raw Sales Forecasting Data'!$J$10:$N$10,0))</f>
        <v>86</v>
      </c>
      <c r="P20" s="240">
        <f>IF(AND($E20&gt;='Launch flag &amp; Life-Cycle Factor'!$F$24, $E20&lt;='Launch flag &amp; Life-Cycle Factor'!$E$24),'Launch flag &amp; Life-Cycle Factor'!$H$24, IF(AND($E20&gt;='Launch flag &amp; Life-Cycle Factor'!$F$23, $E20&lt;='Launch flag &amp; Life-Cycle Factor'!$E$23),'Launch flag &amp; Life-Cycle Factor'!$H$23, IF(AND($E20&gt;='Launch flag &amp; Life-Cycle Factor'!$F$22, $E20&lt;='Launch flag &amp; Life-Cycle Factor'!$E$22),'Launch flag &amp; Life-Cycle Factor'!$H$22, IF(AND($E20&gt;='Launch flag &amp; Life-Cycle Factor'!$F$21, $E20&lt;='Launch flag &amp; Life-Cycle Factor'!$E$21),'Launch flag &amp; Life-Cycle Factor'!$H$21, IF(AND($E20&gt;='Launch flag &amp; Life-Cycle Factor'!$F$20, $E20&lt;='Launch flag &amp; Life-Cycle Factor'!$E$20),'Launch flag &amp; Life-Cycle Factor'!$H$20, IF(AND($E20&gt;='Launch flag &amp; Life-Cycle Factor'!$F$19, $E20&lt;='Launch flag &amp; Life-Cycle Factor'!$E$19),'Launch flag &amp; Life-Cycle Factor'!$H$19, IF(AND($E20&gt;='Launch flag &amp; Life-Cycle Factor'!$F$18, $E20&lt;='Launch flag &amp; Life-Cycle Factor'!$E$18),'Launch flag &amp; Life-Cycle Factor'!$H$18, IF(AND($E20&gt;='Launch flag &amp; Life-Cycle Factor'!$F$17, $E20&lt;='Launch flag &amp; Life-Cycle Factor'!$E$17),'Launch flag &amp; Life-Cycle Factor'!$H$17, IF(AND($E20&gt;='Launch flag &amp; Life-Cycle Factor'!$F$16, $E20&lt;='Launch flag &amp; Life-Cycle Factor'!$E$16),'Launch flag &amp; Life-Cycle Factor'!$H$16,IF(AND($E20&gt;='Launch flag &amp; Life-Cycle Factor'!$F$15, $E20&lt;='Launch flag &amp; Life-Cycle Factor'!$E$15),'Launch flag &amp; Life-Cycle Factor'!$H$15, IF(AND($E20&gt;='Launch flag &amp; Life-Cycle Factor'!$F$14, $E20&lt;='Launch flag &amp; Life-Cycle Factor'!$E$14),'Launch flag &amp; Life-Cycle Factor'!$H$14,IF(AND($E20&gt;='Launch flag &amp; Life-Cycle Factor'!$F$13, $E20&lt;='Launch flag &amp; Life-Cycle Factor'!$E$13),'Launch flag &amp; Life-Cycle Factor'!$H$13, IF(AND($E20&gt;='Launch flag &amp; Life-Cycle Factor'!$F$12, $E20&lt;='Launch flag &amp; Life-Cycle Factor'!$E$12),'Launch flag &amp; Life-Cycle Factor'!$H$12, IF(AND($E20&gt;='Launch flag &amp; Life-Cycle Factor'!$F$11, $E20&lt;='Launch flag &amp; Life-Cycle Factor'!$E$11),'Launch flag &amp; Life-Cycle Factor'!$H$11, IF(AND($E20&gt;='Launch flag &amp; Life-Cycle Factor'!$F$10, $E20&lt;='Launch flag &amp; Life-Cycle Factor'!$E$10),'Launch flag &amp; Life-Cycle Factor'!$H$10, IF(AND($E20&gt;='Launch flag &amp; Life-Cycle Factor'!$F$9, $E20&lt;='Launch flag &amp; Life-Cycle Factor'!$E$9),'Launch flag &amp; Life-Cycle Factor'!$H$9, IF(AND($E20&gt;='Launch flag &amp; Life-Cycle Factor'!$F$8, $E20&lt;='Launch flag &amp; Life-Cycle Factor'!$E$8),'Launch flag &amp; Life-Cycle Factor'!$H$8, IF(AND($E20&gt;='Launch flag &amp; Life-Cycle Factor'!$F$7, $E20&lt;='Launch flag &amp; Life-Cycle Factor'!$E$7),'Launch flag &amp; Life-Cycle Factor'!$H$7, IF(AND($E20&gt;='Launch flag &amp; Life-Cycle Factor'!$F$6, $E20&lt;='Launch flag &amp; Life-Cycle Factor'!$E$6),'Launch flag &amp; Life-Cycle Factor'!$H$6, "-")))))))))))))))))))</f>
        <v>0.65</v>
      </c>
      <c r="Q20" s="655">
        <f>IF(AND($E20&gt;='Launch flag &amp; Life-Cycle Factor'!$F$24, $E20&lt;='Launch flag &amp; Life-Cycle Factor'!$E$24),'Launch flag &amp; Life-Cycle Factor'!$I$24, IF(AND($E20&gt;='Launch flag &amp; Life-Cycle Factor'!$F$23, $E20&lt;='Launch flag &amp; Life-Cycle Factor'!$E$23),'Launch flag &amp; Life-Cycle Factor'!$I$23, IF(AND($E20&gt;='Launch flag &amp; Life-Cycle Factor'!$F$22, $E20&lt;='Launch flag &amp; Life-Cycle Factor'!$E$22),'Launch flag &amp; Life-Cycle Factor'!$I$22, IF(AND($E20&gt;='Launch flag &amp; Life-Cycle Factor'!$F$21, $E20&lt;='Launch flag &amp; Life-Cycle Factor'!$E$21),'Launch flag &amp; Life-Cycle Factor'!$I$21, IF(AND($E20&gt;='Launch flag &amp; Life-Cycle Factor'!$F$20, $E20&lt;='Launch flag &amp; Life-Cycle Factor'!$E$20),'Launch flag &amp; Life-Cycle Factor'!$I$20, IF(AND($E20&gt;='Launch flag &amp; Life-Cycle Factor'!$F$19, $E20&lt;='Launch flag &amp; Life-Cycle Factor'!$E$19),'Launch flag &amp; Life-Cycle Factor'!$I$19, IF(AND($E20&gt;='Launch flag &amp; Life-Cycle Factor'!$F$18, $E20&lt;='Launch flag &amp; Life-Cycle Factor'!$E$18),'Launch flag &amp; Life-Cycle Factor'!$I$18, IF(AND($E20&gt;='Launch flag &amp; Life-Cycle Factor'!$F$17, $E20&lt;='Launch flag &amp; Life-Cycle Factor'!$E$17),'Launch flag &amp; Life-Cycle Factor'!$I$17, IF(AND($E20&gt;='Launch flag &amp; Life-Cycle Factor'!$F$16, $E20&lt;='Launch flag &amp; Life-Cycle Factor'!$E$16),'Launch flag &amp; Life-Cycle Factor'!$I$16,IF(AND($E20&gt;='Launch flag &amp; Life-Cycle Factor'!$F$15, $E20&lt;='Launch flag &amp; Life-Cycle Factor'!$E$15),'Launch flag &amp; Life-Cycle Factor'!$I$15, IF(AND($E20&gt;='Launch flag &amp; Life-Cycle Factor'!$F$14, $E20&lt;='Launch flag &amp; Life-Cycle Factor'!$E$14),'Launch flag &amp; Life-Cycle Factor'!$I$14,IF(AND($E20&gt;='Launch flag &amp; Life-Cycle Factor'!$F$13, $E20&lt;='Launch flag &amp; Life-Cycle Factor'!$E$13),'Launch flag &amp; Life-Cycle Factor'!$I$13, IF(AND($E20&gt;='Launch flag &amp; Life-Cycle Factor'!$F$12, $E20&lt;='Launch flag &amp; Life-Cycle Factor'!$E$12),'Launch flag &amp; Life-Cycle Factor'!$I$12, IF(AND($E20&gt;='Launch flag &amp; Life-Cycle Factor'!$F$11, $E20&lt;='Launch flag &amp; Life-Cycle Factor'!$E$11),'Launch flag &amp; Life-Cycle Factor'!$I$11, IF(AND($E20&gt;='Launch flag &amp; Life-Cycle Factor'!$F$10, $E20&lt;='Launch flag &amp; Life-Cycle Factor'!$E$10),'Launch flag &amp; Life-Cycle Factor'!$I$10, IF(AND($E20&gt;='Launch flag &amp; Life-Cycle Factor'!$F$9, $E20&lt;='Launch flag &amp; Life-Cycle Factor'!$E$9),'Launch flag &amp; Life-Cycle Factor'!$I$9, IF(AND($E20&gt;='Launch flag &amp; Life-Cycle Factor'!$F$8, $E20&lt;='Launch flag &amp; Life-Cycle Factor'!$E$8),'Launch flag &amp; Life-Cycle Factor'!$I$8, IF(AND($E20&gt;='Launch flag &amp; Life-Cycle Factor'!$F$7, $E20&lt;='Launch flag &amp; Life-Cycle Factor'!$E$7),'Launch flag &amp; Life-Cycle Factor'!$I$7, IF(AND($E20&gt;='Launch flag &amp; Life-Cycle Factor'!$F$6, $E20&lt;='Launch flag &amp; Life-Cycle Factor'!$E$6),'Launch flag &amp; Life-Cycle Factor'!$I$6, "-")))))))))))))))))))</f>
        <v>0.35</v>
      </c>
      <c r="R20" s="662">
        <f t="shared" si="0"/>
        <v>50.7</v>
      </c>
      <c r="S20" s="663">
        <f t="shared" si="1"/>
        <v>27.65</v>
      </c>
      <c r="T20" s="242">
        <f t="shared" si="2"/>
        <v>50.7</v>
      </c>
      <c r="U20" s="243">
        <f t="shared" si="3"/>
        <v>27.65</v>
      </c>
      <c r="V20" s="837">
        <f t="shared" si="4"/>
        <v>78.349999999999994</v>
      </c>
      <c r="W20" s="838">
        <f t="shared" si="5"/>
        <v>78.349999999999994</v>
      </c>
      <c r="X20" s="672"/>
    </row>
    <row r="21" spans="2:24" x14ac:dyDescent="0.35">
      <c r="B21" s="186" t="s">
        <v>43</v>
      </c>
      <c r="C21" s="192" t="s">
        <v>122</v>
      </c>
      <c r="D21" s="206" t="str">
        <f>IF(AND($E21&gt;='Launch flag &amp; Life-Cycle Factor'!$F$24, $E21&lt;='Launch flag &amp; Life-Cycle Factor'!$E$24),'Launch flag &amp; Life-Cycle Factor'!$B$24, IF(AND($E21&gt;='Launch flag &amp; Life-Cycle Factor'!$F$23, $E21&lt;='Launch flag &amp; Life-Cycle Factor'!$E$23),'Launch flag &amp; Life-Cycle Factor'!$B$23, IF(AND($E21&gt;='Launch flag &amp; Life-Cycle Factor'!$F$22, $E21&lt;='Launch flag &amp; Life-Cycle Factor'!$E$22),'Launch flag &amp; Life-Cycle Factor'!$B$22, IF(AND($E21&gt;='Launch flag &amp; Life-Cycle Factor'!$F$21, $E21&lt;='Launch flag &amp; Life-Cycle Factor'!$E$21),'Launch flag &amp; Life-Cycle Factor'!$B$21, IF(AND($E21&gt;='Launch flag &amp; Life-Cycle Factor'!$F$20, $E21&lt;='Launch flag &amp; Life-Cycle Factor'!$E$20),'Launch flag &amp; Life-Cycle Factor'!$B$20, IF(AND($E21&gt;='Launch flag &amp; Life-Cycle Factor'!$F$19, $E21&lt;='Launch flag &amp; Life-Cycle Factor'!$E$19),'Launch flag &amp; Life-Cycle Factor'!$B$19, IF(AND($E21&gt;='Launch flag &amp; Life-Cycle Factor'!$F$18, $E21&lt;='Launch flag &amp; Life-Cycle Factor'!$E$18),'Launch flag &amp; Life-Cycle Factor'!$B$18, IF(AND($E21&gt;='Launch flag &amp; Life-Cycle Factor'!$F$17, $E21&lt;='Launch flag &amp; Life-Cycle Factor'!$E$17),'Launch flag &amp; Life-Cycle Factor'!$B$17, IF(AND($E21&gt;='Launch flag &amp; Life-Cycle Factor'!$F$16, $E21&lt;='Launch flag &amp; Life-Cycle Factor'!$E$16),'Launch flag &amp; Life-Cycle Factor'!$B$16,IF(AND($E21&gt;='Launch flag &amp; Life-Cycle Factor'!$F$15, $E21&lt;='Launch flag &amp; Life-Cycle Factor'!$E$15),'Launch flag &amp; Life-Cycle Factor'!$B$15, IF(AND($E21&gt;='Launch flag &amp; Life-Cycle Factor'!$F$14, $E21&lt;='Launch flag &amp; Life-Cycle Factor'!$E$14),'Launch flag &amp; Life-Cycle Factor'!$B$14,IF(AND($E21&gt;='Launch flag &amp; Life-Cycle Factor'!$F$13, $E21&lt;='Launch flag &amp; Life-Cycle Factor'!$E$13),'Launch flag &amp; Life-Cycle Factor'!$B$13, IF(AND($E21&gt;='Launch flag &amp; Life-Cycle Factor'!$F$12, $E21&lt;='Launch flag &amp; Life-Cycle Factor'!$E$12),'Launch flag &amp; Life-Cycle Factor'!$B$12, IF(AND($E21&gt;='Launch flag &amp; Life-Cycle Factor'!$F$11, $E21&lt;='Launch flag &amp; Life-Cycle Factor'!$E$11),'Launch flag &amp; Life-Cycle Factor'!$B$11, IF(AND($E21&gt;='Launch flag &amp; Life-Cycle Factor'!$F$10, $E21&lt;='Launch flag &amp; Life-Cycle Factor'!$E$10),'Launch flag &amp; Life-Cycle Factor'!$B$10, IF(AND($E21&gt;='Launch flag &amp; Life-Cycle Factor'!$F$9, $E21&lt;='Launch flag &amp; Life-Cycle Factor'!$E$9),'Launch flag &amp; Life-Cycle Factor'!$B$9, IF(AND($E21&gt;='Launch flag &amp; Life-Cycle Factor'!$F$8, $E21&lt;='Launch flag &amp; Life-Cycle Factor'!$E$8),'Launch flag &amp; Life-Cycle Factor'!$B$8, IF(AND($E21&gt;='Launch flag &amp; Life-Cycle Factor'!$F$7, $E21&lt;='Launch flag &amp; Life-Cycle Factor'!$E$7),'Launch flag &amp; Life-Cycle Factor'!$B$7, IF(AND($E21&gt;='Launch flag &amp; Life-Cycle Factor'!$F$6, $E21&lt;='Launch flag &amp; Life-Cycle Factor'!$E$6),'Launch flag &amp; Life-Cycle Factor'!$B$6, "-")))))))))))))))))))</f>
        <v>Planning Year</v>
      </c>
      <c r="E21" s="219">
        <f>INDEX('NPS with launch Dates '!$J$6:$J$59,MATCH('2.  Sales Data Key &amp; Key-Lyn'!$C21,'NPS with launch Dates '!$I$6:$I$59,0))</f>
        <v>45293</v>
      </c>
      <c r="F21" s="197">
        <f>INDEX('Raw Sales Forecasting Data'!$D$11:$H$126,MATCH('2.  Sales Data Key &amp; Key-Lyn'!$C21,'Raw Sales Forecasting Data'!$C$11:$C$126,0),MATCH('2.  Sales Data Key &amp; Key-Lyn'!F$6,'Raw Sales Forecasting Data'!$D$10:$H$10,0))</f>
        <v>25</v>
      </c>
      <c r="G21" s="198">
        <f>INDEX('Raw Sales Forecasting Data'!$D$11:$H$126,MATCH('2.  Sales Data Key &amp; Key-Lyn'!$C21,'Raw Sales Forecasting Data'!$C$11:$C$126,0),MATCH('2.  Sales Data Key &amp; Key-Lyn'!G$6,'Raw Sales Forecasting Data'!$D$10:$H$10,0))</f>
        <v>34</v>
      </c>
      <c r="H21" s="198">
        <f>INDEX('Raw Sales Forecasting Data'!$D$11:$H$126,MATCH('2.  Sales Data Key &amp; Key-Lyn'!$C21,'Raw Sales Forecasting Data'!$C$11:$C$126,0),MATCH('2.  Sales Data Key &amp; Key-Lyn'!H$6,'Raw Sales Forecasting Data'!$D$10:$H$10,0))</f>
        <v>38</v>
      </c>
      <c r="I21" s="198">
        <f>INDEX('Raw Sales Forecasting Data'!$D$11:$H$126,MATCH('2.  Sales Data Key &amp; Key-Lyn'!$C21,'Raw Sales Forecasting Data'!$C$11:$C$126,0),MATCH('2.  Sales Data Key &amp; Key-Lyn'!I$6,'Raw Sales Forecasting Data'!$D$10:$H$10,0))</f>
        <v>28</v>
      </c>
      <c r="J21" s="199">
        <f>INDEX('Raw Sales Forecasting Data'!$D$11:$H$126,MATCH('2.  Sales Data Key &amp; Key-Lyn'!$C21,'Raw Sales Forecasting Data'!$C$11:$C$126,0),MATCH('2.  Sales Data Key &amp; Key-Lyn'!J$6,'Raw Sales Forecasting Data'!$D$10:$H$10,0))</f>
        <v>26</v>
      </c>
      <c r="K21" s="203">
        <f>INDEX('Raw Sales Forecasting Data'!$J$11:$N$126,MATCH('2.  Sales Data Key &amp; Key-Lyn'!$C21,'Raw Sales Forecasting Data'!$C$11:$C$126,0),MATCH('2.  Sales Data Key &amp; Key-Lyn'!K$6,'Raw Sales Forecasting Data'!$J$10:$N$10,0))</f>
        <v>25</v>
      </c>
      <c r="L21" s="198">
        <f>INDEX('Raw Sales Forecasting Data'!$J$11:$N$126,MATCH('2.  Sales Data Key &amp; Key-Lyn'!$C21,'Raw Sales Forecasting Data'!$C$11:$C$126,0),MATCH('2.  Sales Data Key &amp; Key-Lyn'!L$6,'Raw Sales Forecasting Data'!$J$10:$N$10,0))</f>
        <v>34</v>
      </c>
      <c r="M21" s="198">
        <f>INDEX('Raw Sales Forecasting Data'!$J$11:$N$126,MATCH('2.  Sales Data Key &amp; Key-Lyn'!$C21,'Raw Sales Forecasting Data'!$C$11:$C$126,0),MATCH('2.  Sales Data Key &amp; Key-Lyn'!M$6,'Raw Sales Forecasting Data'!$J$10:$N$10,0))</f>
        <v>38</v>
      </c>
      <c r="N21" s="198">
        <f>INDEX('Raw Sales Forecasting Data'!$J$11:$N$126,MATCH('2.  Sales Data Key &amp; Key-Lyn'!$C21,'Raw Sales Forecasting Data'!$C$11:$C$126,0),MATCH('2.  Sales Data Key &amp; Key-Lyn'!N$6,'Raw Sales Forecasting Data'!$J$10:$N$10,0))</f>
        <v>28</v>
      </c>
      <c r="O21" s="238">
        <f>INDEX('Raw Sales Forecasting Data'!$J$11:$N$126,MATCH('2.  Sales Data Key &amp; Key-Lyn'!$C21,'Raw Sales Forecasting Data'!$C$11:$C$126,0),MATCH('2.  Sales Data Key &amp; Key-Lyn'!O$6,'Raw Sales Forecasting Data'!$J$10:$N$10,0))</f>
        <v>26</v>
      </c>
      <c r="P21" s="240">
        <f>IF(AND($E21&gt;='Launch flag &amp; Life-Cycle Factor'!$F$24, $E21&lt;='Launch flag &amp; Life-Cycle Factor'!$E$24),'Launch flag &amp; Life-Cycle Factor'!$H$24, IF(AND($E21&gt;='Launch flag &amp; Life-Cycle Factor'!$F$23, $E21&lt;='Launch flag &amp; Life-Cycle Factor'!$E$23),'Launch flag &amp; Life-Cycle Factor'!$H$23, IF(AND($E21&gt;='Launch flag &amp; Life-Cycle Factor'!$F$22, $E21&lt;='Launch flag &amp; Life-Cycle Factor'!$E$22),'Launch flag &amp; Life-Cycle Factor'!$H$22, IF(AND($E21&gt;='Launch flag &amp; Life-Cycle Factor'!$F$21, $E21&lt;='Launch flag &amp; Life-Cycle Factor'!$E$21),'Launch flag &amp; Life-Cycle Factor'!$H$21, IF(AND($E21&gt;='Launch flag &amp; Life-Cycle Factor'!$F$20, $E21&lt;='Launch flag &amp; Life-Cycle Factor'!$E$20),'Launch flag &amp; Life-Cycle Factor'!$H$20, IF(AND($E21&gt;='Launch flag &amp; Life-Cycle Factor'!$F$19, $E21&lt;='Launch flag &amp; Life-Cycle Factor'!$E$19),'Launch flag &amp; Life-Cycle Factor'!$H$19, IF(AND($E21&gt;='Launch flag &amp; Life-Cycle Factor'!$F$18, $E21&lt;='Launch flag &amp; Life-Cycle Factor'!$E$18),'Launch flag &amp; Life-Cycle Factor'!$H$18, IF(AND($E21&gt;='Launch flag &amp; Life-Cycle Factor'!$F$17, $E21&lt;='Launch flag &amp; Life-Cycle Factor'!$E$17),'Launch flag &amp; Life-Cycle Factor'!$H$17, IF(AND($E21&gt;='Launch flag &amp; Life-Cycle Factor'!$F$16, $E21&lt;='Launch flag &amp; Life-Cycle Factor'!$E$16),'Launch flag &amp; Life-Cycle Factor'!$H$16,IF(AND($E21&gt;='Launch flag &amp; Life-Cycle Factor'!$F$15, $E21&lt;='Launch flag &amp; Life-Cycle Factor'!$E$15),'Launch flag &amp; Life-Cycle Factor'!$H$15, IF(AND($E21&gt;='Launch flag &amp; Life-Cycle Factor'!$F$14, $E21&lt;='Launch flag &amp; Life-Cycle Factor'!$E$14),'Launch flag &amp; Life-Cycle Factor'!$H$14,IF(AND($E21&gt;='Launch flag &amp; Life-Cycle Factor'!$F$13, $E21&lt;='Launch flag &amp; Life-Cycle Factor'!$E$13),'Launch flag &amp; Life-Cycle Factor'!$H$13, IF(AND($E21&gt;='Launch flag &amp; Life-Cycle Factor'!$F$12, $E21&lt;='Launch flag &amp; Life-Cycle Factor'!$E$12),'Launch flag &amp; Life-Cycle Factor'!$H$12, IF(AND($E21&gt;='Launch flag &amp; Life-Cycle Factor'!$F$11, $E21&lt;='Launch flag &amp; Life-Cycle Factor'!$E$11),'Launch flag &amp; Life-Cycle Factor'!$H$11, IF(AND($E21&gt;='Launch flag &amp; Life-Cycle Factor'!$F$10, $E21&lt;='Launch flag &amp; Life-Cycle Factor'!$E$10),'Launch flag &amp; Life-Cycle Factor'!$H$10, IF(AND($E21&gt;='Launch flag &amp; Life-Cycle Factor'!$F$9, $E21&lt;='Launch flag &amp; Life-Cycle Factor'!$E$9),'Launch flag &amp; Life-Cycle Factor'!$H$9, IF(AND($E21&gt;='Launch flag &amp; Life-Cycle Factor'!$F$8, $E21&lt;='Launch flag &amp; Life-Cycle Factor'!$E$8),'Launch flag &amp; Life-Cycle Factor'!$H$8, IF(AND($E21&gt;='Launch flag &amp; Life-Cycle Factor'!$F$7, $E21&lt;='Launch flag &amp; Life-Cycle Factor'!$E$7),'Launch flag &amp; Life-Cycle Factor'!$H$7, IF(AND($E21&gt;='Launch flag &amp; Life-Cycle Factor'!$F$6, $E21&lt;='Launch flag &amp; Life-Cycle Factor'!$E$6),'Launch flag &amp; Life-Cycle Factor'!$H$6, "-")))))))))))))))))))</f>
        <v>0.6</v>
      </c>
      <c r="Q21" s="655">
        <f>IF(AND($E21&gt;='Launch flag &amp; Life-Cycle Factor'!$F$24, $E21&lt;='Launch flag &amp; Life-Cycle Factor'!$E$24),'Launch flag &amp; Life-Cycle Factor'!$I$24, IF(AND($E21&gt;='Launch flag &amp; Life-Cycle Factor'!$F$23, $E21&lt;='Launch flag &amp; Life-Cycle Factor'!$E$23),'Launch flag &amp; Life-Cycle Factor'!$I$23, IF(AND($E21&gt;='Launch flag &amp; Life-Cycle Factor'!$F$22, $E21&lt;='Launch flag &amp; Life-Cycle Factor'!$E$22),'Launch flag &amp; Life-Cycle Factor'!$I$22, IF(AND($E21&gt;='Launch flag &amp; Life-Cycle Factor'!$F$21, $E21&lt;='Launch flag &amp; Life-Cycle Factor'!$E$21),'Launch flag &amp; Life-Cycle Factor'!$I$21, IF(AND($E21&gt;='Launch flag &amp; Life-Cycle Factor'!$F$20, $E21&lt;='Launch flag &amp; Life-Cycle Factor'!$E$20),'Launch flag &amp; Life-Cycle Factor'!$I$20, IF(AND($E21&gt;='Launch flag &amp; Life-Cycle Factor'!$F$19, $E21&lt;='Launch flag &amp; Life-Cycle Factor'!$E$19),'Launch flag &amp; Life-Cycle Factor'!$I$19, IF(AND($E21&gt;='Launch flag &amp; Life-Cycle Factor'!$F$18, $E21&lt;='Launch flag &amp; Life-Cycle Factor'!$E$18),'Launch flag &amp; Life-Cycle Factor'!$I$18, IF(AND($E21&gt;='Launch flag &amp; Life-Cycle Factor'!$F$17, $E21&lt;='Launch flag &amp; Life-Cycle Factor'!$E$17),'Launch flag &amp; Life-Cycle Factor'!$I$17, IF(AND($E21&gt;='Launch flag &amp; Life-Cycle Factor'!$F$16, $E21&lt;='Launch flag &amp; Life-Cycle Factor'!$E$16),'Launch flag &amp; Life-Cycle Factor'!$I$16,IF(AND($E21&gt;='Launch flag &amp; Life-Cycle Factor'!$F$15, $E21&lt;='Launch flag &amp; Life-Cycle Factor'!$E$15),'Launch flag &amp; Life-Cycle Factor'!$I$15, IF(AND($E21&gt;='Launch flag &amp; Life-Cycle Factor'!$F$14, $E21&lt;='Launch flag &amp; Life-Cycle Factor'!$E$14),'Launch flag &amp; Life-Cycle Factor'!$I$14,IF(AND($E21&gt;='Launch flag &amp; Life-Cycle Factor'!$F$13, $E21&lt;='Launch flag &amp; Life-Cycle Factor'!$E$13),'Launch flag &amp; Life-Cycle Factor'!$I$13, IF(AND($E21&gt;='Launch flag &amp; Life-Cycle Factor'!$F$12, $E21&lt;='Launch flag &amp; Life-Cycle Factor'!$E$12),'Launch flag &amp; Life-Cycle Factor'!$I$12, IF(AND($E21&gt;='Launch flag &amp; Life-Cycle Factor'!$F$11, $E21&lt;='Launch flag &amp; Life-Cycle Factor'!$E$11),'Launch flag &amp; Life-Cycle Factor'!$I$11, IF(AND($E21&gt;='Launch flag &amp; Life-Cycle Factor'!$F$10, $E21&lt;='Launch flag &amp; Life-Cycle Factor'!$E$10),'Launch flag &amp; Life-Cycle Factor'!$I$10, IF(AND($E21&gt;='Launch flag &amp; Life-Cycle Factor'!$F$9, $E21&lt;='Launch flag &amp; Life-Cycle Factor'!$E$9),'Launch flag &amp; Life-Cycle Factor'!$I$9, IF(AND($E21&gt;='Launch flag &amp; Life-Cycle Factor'!$F$8, $E21&lt;='Launch flag &amp; Life-Cycle Factor'!$E$8),'Launch flag &amp; Life-Cycle Factor'!$I$8, IF(AND($E21&gt;='Launch flag &amp; Life-Cycle Factor'!$F$7, $E21&lt;='Launch flag &amp; Life-Cycle Factor'!$E$7),'Launch flag &amp; Life-Cycle Factor'!$I$7, IF(AND($E21&gt;='Launch flag &amp; Life-Cycle Factor'!$F$6, $E21&lt;='Launch flag &amp; Life-Cycle Factor'!$E$6),'Launch flag &amp; Life-Cycle Factor'!$I$6, "-")))))))))))))))))))</f>
        <v>0.4</v>
      </c>
      <c r="R21" s="662">
        <f t="shared" si="0"/>
        <v>20.399999999999999</v>
      </c>
      <c r="S21" s="663">
        <f t="shared" si="1"/>
        <v>15.200000000000001</v>
      </c>
      <c r="T21" s="242">
        <f t="shared" si="2"/>
        <v>20.399999999999999</v>
      </c>
      <c r="U21" s="243">
        <f t="shared" si="3"/>
        <v>15.200000000000001</v>
      </c>
      <c r="V21" s="837">
        <f t="shared" si="4"/>
        <v>35.6</v>
      </c>
      <c r="W21" s="838">
        <f t="shared" si="5"/>
        <v>35.6</v>
      </c>
      <c r="X21" s="672"/>
    </row>
    <row r="22" spans="2:24" x14ac:dyDescent="0.35">
      <c r="B22" s="186" t="s">
        <v>43</v>
      </c>
      <c r="C22" s="192" t="s">
        <v>124</v>
      </c>
      <c r="D22" s="206" t="str">
        <f>IF(AND($E22&gt;='Launch flag &amp; Life-Cycle Factor'!$F$24, $E22&lt;='Launch flag &amp; Life-Cycle Factor'!$E$24),'Launch flag &amp; Life-Cycle Factor'!$B$24, IF(AND($E22&gt;='Launch flag &amp; Life-Cycle Factor'!$F$23, $E22&lt;='Launch flag &amp; Life-Cycle Factor'!$E$23),'Launch flag &amp; Life-Cycle Factor'!$B$23, IF(AND($E22&gt;='Launch flag &amp; Life-Cycle Factor'!$F$22, $E22&lt;='Launch flag &amp; Life-Cycle Factor'!$E$22),'Launch flag &amp; Life-Cycle Factor'!$B$22, IF(AND($E22&gt;='Launch flag &amp; Life-Cycle Factor'!$F$21, $E22&lt;='Launch flag &amp; Life-Cycle Factor'!$E$21),'Launch flag &amp; Life-Cycle Factor'!$B$21, IF(AND($E22&gt;='Launch flag &amp; Life-Cycle Factor'!$F$20, $E22&lt;='Launch flag &amp; Life-Cycle Factor'!$E$20),'Launch flag &amp; Life-Cycle Factor'!$B$20, IF(AND($E22&gt;='Launch flag &amp; Life-Cycle Factor'!$F$19, $E22&lt;='Launch flag &amp; Life-Cycle Factor'!$E$19),'Launch flag &amp; Life-Cycle Factor'!$B$19, IF(AND($E22&gt;='Launch flag &amp; Life-Cycle Factor'!$F$18, $E22&lt;='Launch flag &amp; Life-Cycle Factor'!$E$18),'Launch flag &amp; Life-Cycle Factor'!$B$18, IF(AND($E22&gt;='Launch flag &amp; Life-Cycle Factor'!$F$17, $E22&lt;='Launch flag &amp; Life-Cycle Factor'!$E$17),'Launch flag &amp; Life-Cycle Factor'!$B$17, IF(AND($E22&gt;='Launch flag &amp; Life-Cycle Factor'!$F$16, $E22&lt;='Launch flag &amp; Life-Cycle Factor'!$E$16),'Launch flag &amp; Life-Cycle Factor'!$B$16,IF(AND($E22&gt;='Launch flag &amp; Life-Cycle Factor'!$F$15, $E22&lt;='Launch flag &amp; Life-Cycle Factor'!$E$15),'Launch flag &amp; Life-Cycle Factor'!$B$15, IF(AND($E22&gt;='Launch flag &amp; Life-Cycle Factor'!$F$14, $E22&lt;='Launch flag &amp; Life-Cycle Factor'!$E$14),'Launch flag &amp; Life-Cycle Factor'!$B$14,IF(AND($E22&gt;='Launch flag &amp; Life-Cycle Factor'!$F$13, $E22&lt;='Launch flag &amp; Life-Cycle Factor'!$E$13),'Launch flag &amp; Life-Cycle Factor'!$B$13, IF(AND($E22&gt;='Launch flag &amp; Life-Cycle Factor'!$F$12, $E22&lt;='Launch flag &amp; Life-Cycle Factor'!$E$12),'Launch flag &amp; Life-Cycle Factor'!$B$12, IF(AND($E22&gt;='Launch flag &amp; Life-Cycle Factor'!$F$11, $E22&lt;='Launch flag &amp; Life-Cycle Factor'!$E$11),'Launch flag &amp; Life-Cycle Factor'!$B$11, IF(AND($E22&gt;='Launch flag &amp; Life-Cycle Factor'!$F$10, $E22&lt;='Launch flag &amp; Life-Cycle Factor'!$E$10),'Launch flag &amp; Life-Cycle Factor'!$B$10, IF(AND($E22&gt;='Launch flag &amp; Life-Cycle Factor'!$F$9, $E22&lt;='Launch flag &amp; Life-Cycle Factor'!$E$9),'Launch flag &amp; Life-Cycle Factor'!$B$9, IF(AND($E22&gt;='Launch flag &amp; Life-Cycle Factor'!$F$8, $E22&lt;='Launch flag &amp; Life-Cycle Factor'!$E$8),'Launch flag &amp; Life-Cycle Factor'!$B$8, IF(AND($E22&gt;='Launch flag &amp; Life-Cycle Factor'!$F$7, $E22&lt;='Launch flag &amp; Life-Cycle Factor'!$E$7),'Launch flag &amp; Life-Cycle Factor'!$B$7, IF(AND($E22&gt;='Launch flag &amp; Life-Cycle Factor'!$F$6, $E22&lt;='Launch flag &amp; Life-Cycle Factor'!$E$6),'Launch flag &amp; Life-Cycle Factor'!$B$6, "-")))))))))))))))))))</f>
        <v>Mature</v>
      </c>
      <c r="E22" s="219">
        <f>INDEX('NPS with launch Dates '!$J$6:$J$59,MATCH('2.  Sales Data Key &amp; Key-Lyn'!$C22,'NPS with launch Dates '!$I$6:$I$59,0))</f>
        <v>43800</v>
      </c>
      <c r="F22" s="197">
        <f>INDEX('Raw Sales Forecasting Data'!$D$11:$H$126,MATCH('2.  Sales Data Key &amp; Key-Lyn'!$C22,'Raw Sales Forecasting Data'!$C$11:$C$126,0),MATCH('2.  Sales Data Key &amp; Key-Lyn'!F$6,'Raw Sales Forecasting Data'!$D$10:$H$10,0))</f>
        <v>39.181099996449298</v>
      </c>
      <c r="G22" s="198">
        <f>INDEX('Raw Sales Forecasting Data'!$D$11:$H$126,MATCH('2.  Sales Data Key &amp; Key-Lyn'!$C22,'Raw Sales Forecasting Data'!$C$11:$C$126,0),MATCH('2.  Sales Data Key &amp; Key-Lyn'!G$6,'Raw Sales Forecasting Data'!$D$10:$H$10,0))</f>
        <v>46.014429237499698</v>
      </c>
      <c r="H22" s="198">
        <f>INDEX('Raw Sales Forecasting Data'!$D$11:$H$126,MATCH('2.  Sales Data Key &amp; Key-Lyn'!$C22,'Raw Sales Forecasting Data'!$C$11:$C$126,0),MATCH('2.  Sales Data Key &amp; Key-Lyn'!H$6,'Raw Sales Forecasting Data'!$D$10:$H$10,0))</f>
        <v>48.413194783662199</v>
      </c>
      <c r="I22" s="198">
        <f>INDEX('Raw Sales Forecasting Data'!$D$11:$H$126,MATCH('2.  Sales Data Key &amp; Key-Lyn'!$C22,'Raw Sales Forecasting Data'!$C$11:$C$126,0),MATCH('2.  Sales Data Key &amp; Key-Lyn'!I$6,'Raw Sales Forecasting Data'!$D$10:$H$10,0))</f>
        <v>45.428347071495679</v>
      </c>
      <c r="J22" s="199">
        <f>INDEX('Raw Sales Forecasting Data'!$D$11:$H$126,MATCH('2.  Sales Data Key &amp; Key-Lyn'!$C22,'Raw Sales Forecasting Data'!$C$11:$C$126,0),MATCH('2.  Sales Data Key &amp; Key-Lyn'!J$6,'Raw Sales Forecasting Data'!$D$10:$H$10,0))</f>
        <v>40.848336773154955</v>
      </c>
      <c r="K22" s="203">
        <f>INDEX('Raw Sales Forecasting Data'!$J$11:$N$126,MATCH('2.  Sales Data Key &amp; Key-Lyn'!$C22,'Raw Sales Forecasting Data'!$C$11:$C$126,0),MATCH('2.  Sales Data Key &amp; Key-Lyn'!K$6,'Raw Sales Forecasting Data'!$J$10:$N$10,0))</f>
        <v>39.181099996449298</v>
      </c>
      <c r="L22" s="198">
        <f>INDEX('Raw Sales Forecasting Data'!$J$11:$N$126,MATCH('2.  Sales Data Key &amp; Key-Lyn'!$C22,'Raw Sales Forecasting Data'!$C$11:$C$126,0),MATCH('2.  Sales Data Key &amp; Key-Lyn'!L$6,'Raw Sales Forecasting Data'!$J$10:$N$10,0))</f>
        <v>46.014429237499698</v>
      </c>
      <c r="M22" s="198">
        <f>INDEX('Raw Sales Forecasting Data'!$J$11:$N$126,MATCH('2.  Sales Data Key &amp; Key-Lyn'!$C22,'Raw Sales Forecasting Data'!$C$11:$C$126,0),MATCH('2.  Sales Data Key &amp; Key-Lyn'!M$6,'Raw Sales Forecasting Data'!$J$10:$N$10,0))</f>
        <v>48.413194783662199</v>
      </c>
      <c r="N22" s="198">
        <f>INDEX('Raw Sales Forecasting Data'!$J$11:$N$126,MATCH('2.  Sales Data Key &amp; Key-Lyn'!$C22,'Raw Sales Forecasting Data'!$C$11:$C$126,0),MATCH('2.  Sales Data Key &amp; Key-Lyn'!N$6,'Raw Sales Forecasting Data'!$J$10:$N$10,0))</f>
        <v>45.428347071495679</v>
      </c>
      <c r="O22" s="238">
        <f>INDEX('Raw Sales Forecasting Data'!$J$11:$N$126,MATCH('2.  Sales Data Key &amp; Key-Lyn'!$C22,'Raw Sales Forecasting Data'!$C$11:$C$126,0),MATCH('2.  Sales Data Key &amp; Key-Lyn'!O$6,'Raw Sales Forecasting Data'!$J$10:$N$10,0))</f>
        <v>40.848336773154955</v>
      </c>
      <c r="P22" s="240">
        <f>IF(AND($E22&gt;='Launch flag &amp; Life-Cycle Factor'!$F$24, $E22&lt;='Launch flag &amp; Life-Cycle Factor'!$E$24),'Launch flag &amp; Life-Cycle Factor'!$H$24, IF(AND($E22&gt;='Launch flag &amp; Life-Cycle Factor'!$F$23, $E22&lt;='Launch flag &amp; Life-Cycle Factor'!$E$23),'Launch flag &amp; Life-Cycle Factor'!$H$23, IF(AND($E22&gt;='Launch flag &amp; Life-Cycle Factor'!$F$22, $E22&lt;='Launch flag &amp; Life-Cycle Factor'!$E$22),'Launch flag &amp; Life-Cycle Factor'!$H$22, IF(AND($E22&gt;='Launch flag &amp; Life-Cycle Factor'!$F$21, $E22&lt;='Launch flag &amp; Life-Cycle Factor'!$E$21),'Launch flag &amp; Life-Cycle Factor'!$H$21, IF(AND($E22&gt;='Launch flag &amp; Life-Cycle Factor'!$F$20, $E22&lt;='Launch flag &amp; Life-Cycle Factor'!$E$20),'Launch flag &amp; Life-Cycle Factor'!$H$20, IF(AND($E22&gt;='Launch flag &amp; Life-Cycle Factor'!$F$19, $E22&lt;='Launch flag &amp; Life-Cycle Factor'!$E$19),'Launch flag &amp; Life-Cycle Factor'!$H$19, IF(AND($E22&gt;='Launch flag &amp; Life-Cycle Factor'!$F$18, $E22&lt;='Launch flag &amp; Life-Cycle Factor'!$E$18),'Launch flag &amp; Life-Cycle Factor'!$H$18, IF(AND($E22&gt;='Launch flag &amp; Life-Cycle Factor'!$F$17, $E22&lt;='Launch flag &amp; Life-Cycle Factor'!$E$17),'Launch flag &amp; Life-Cycle Factor'!$H$17, IF(AND($E22&gt;='Launch flag &amp; Life-Cycle Factor'!$F$16, $E22&lt;='Launch flag &amp; Life-Cycle Factor'!$E$16),'Launch flag &amp; Life-Cycle Factor'!$H$16,IF(AND($E22&gt;='Launch flag &amp; Life-Cycle Factor'!$F$15, $E22&lt;='Launch flag &amp; Life-Cycle Factor'!$E$15),'Launch flag &amp; Life-Cycle Factor'!$H$15, IF(AND($E22&gt;='Launch flag &amp; Life-Cycle Factor'!$F$14, $E22&lt;='Launch flag &amp; Life-Cycle Factor'!$E$14),'Launch flag &amp; Life-Cycle Factor'!$H$14,IF(AND($E22&gt;='Launch flag &amp; Life-Cycle Factor'!$F$13, $E22&lt;='Launch flag &amp; Life-Cycle Factor'!$E$13),'Launch flag &amp; Life-Cycle Factor'!$H$13, IF(AND($E22&gt;='Launch flag &amp; Life-Cycle Factor'!$F$12, $E22&lt;='Launch flag &amp; Life-Cycle Factor'!$E$12),'Launch flag &amp; Life-Cycle Factor'!$H$12, IF(AND($E22&gt;='Launch flag &amp; Life-Cycle Factor'!$F$11, $E22&lt;='Launch flag &amp; Life-Cycle Factor'!$E$11),'Launch flag &amp; Life-Cycle Factor'!$H$11, IF(AND($E22&gt;='Launch flag &amp; Life-Cycle Factor'!$F$10, $E22&lt;='Launch flag &amp; Life-Cycle Factor'!$E$10),'Launch flag &amp; Life-Cycle Factor'!$H$10, IF(AND($E22&gt;='Launch flag &amp; Life-Cycle Factor'!$F$9, $E22&lt;='Launch flag &amp; Life-Cycle Factor'!$E$9),'Launch flag &amp; Life-Cycle Factor'!$H$9, IF(AND($E22&gt;='Launch flag &amp; Life-Cycle Factor'!$F$8, $E22&lt;='Launch flag &amp; Life-Cycle Factor'!$E$8),'Launch flag &amp; Life-Cycle Factor'!$H$8, IF(AND($E22&gt;='Launch flag &amp; Life-Cycle Factor'!$F$7, $E22&lt;='Launch flag &amp; Life-Cycle Factor'!$E$7),'Launch flag &amp; Life-Cycle Factor'!$H$7, IF(AND($E22&gt;='Launch flag &amp; Life-Cycle Factor'!$F$6, $E22&lt;='Launch flag &amp; Life-Cycle Factor'!$E$6),'Launch flag &amp; Life-Cycle Factor'!$H$6, "-")))))))))))))))))))</f>
        <v>0.65</v>
      </c>
      <c r="Q22" s="655">
        <f>IF(AND($E22&gt;='Launch flag &amp; Life-Cycle Factor'!$F$24, $E22&lt;='Launch flag &amp; Life-Cycle Factor'!$E$24),'Launch flag &amp; Life-Cycle Factor'!$I$24, IF(AND($E22&gt;='Launch flag &amp; Life-Cycle Factor'!$F$23, $E22&lt;='Launch flag &amp; Life-Cycle Factor'!$E$23),'Launch flag &amp; Life-Cycle Factor'!$I$23, IF(AND($E22&gt;='Launch flag &amp; Life-Cycle Factor'!$F$22, $E22&lt;='Launch flag &amp; Life-Cycle Factor'!$E$22),'Launch flag &amp; Life-Cycle Factor'!$I$22, IF(AND($E22&gt;='Launch flag &amp; Life-Cycle Factor'!$F$21, $E22&lt;='Launch flag &amp; Life-Cycle Factor'!$E$21),'Launch flag &amp; Life-Cycle Factor'!$I$21, IF(AND($E22&gt;='Launch flag &amp; Life-Cycle Factor'!$F$20, $E22&lt;='Launch flag &amp; Life-Cycle Factor'!$E$20),'Launch flag &amp; Life-Cycle Factor'!$I$20, IF(AND($E22&gt;='Launch flag &amp; Life-Cycle Factor'!$F$19, $E22&lt;='Launch flag &amp; Life-Cycle Factor'!$E$19),'Launch flag &amp; Life-Cycle Factor'!$I$19, IF(AND($E22&gt;='Launch flag &amp; Life-Cycle Factor'!$F$18, $E22&lt;='Launch flag &amp; Life-Cycle Factor'!$E$18),'Launch flag &amp; Life-Cycle Factor'!$I$18, IF(AND($E22&gt;='Launch flag &amp; Life-Cycle Factor'!$F$17, $E22&lt;='Launch flag &amp; Life-Cycle Factor'!$E$17),'Launch flag &amp; Life-Cycle Factor'!$I$17, IF(AND($E22&gt;='Launch flag &amp; Life-Cycle Factor'!$F$16, $E22&lt;='Launch flag &amp; Life-Cycle Factor'!$E$16),'Launch flag &amp; Life-Cycle Factor'!$I$16,IF(AND($E22&gt;='Launch flag &amp; Life-Cycle Factor'!$F$15, $E22&lt;='Launch flag &amp; Life-Cycle Factor'!$E$15),'Launch flag &amp; Life-Cycle Factor'!$I$15, IF(AND($E22&gt;='Launch flag &amp; Life-Cycle Factor'!$F$14, $E22&lt;='Launch flag &amp; Life-Cycle Factor'!$E$14),'Launch flag &amp; Life-Cycle Factor'!$I$14,IF(AND($E22&gt;='Launch flag &amp; Life-Cycle Factor'!$F$13, $E22&lt;='Launch flag &amp; Life-Cycle Factor'!$E$13),'Launch flag &amp; Life-Cycle Factor'!$I$13, IF(AND($E22&gt;='Launch flag &amp; Life-Cycle Factor'!$F$12, $E22&lt;='Launch flag &amp; Life-Cycle Factor'!$E$12),'Launch flag &amp; Life-Cycle Factor'!$I$12, IF(AND($E22&gt;='Launch flag &amp; Life-Cycle Factor'!$F$11, $E22&lt;='Launch flag &amp; Life-Cycle Factor'!$E$11),'Launch flag &amp; Life-Cycle Factor'!$I$11, IF(AND($E22&gt;='Launch flag &amp; Life-Cycle Factor'!$F$10, $E22&lt;='Launch flag &amp; Life-Cycle Factor'!$E$10),'Launch flag &amp; Life-Cycle Factor'!$I$10, IF(AND($E22&gt;='Launch flag &amp; Life-Cycle Factor'!$F$9, $E22&lt;='Launch flag &amp; Life-Cycle Factor'!$E$9),'Launch flag &amp; Life-Cycle Factor'!$I$9, IF(AND($E22&gt;='Launch flag &amp; Life-Cycle Factor'!$F$8, $E22&lt;='Launch flag &amp; Life-Cycle Factor'!$E$8),'Launch flag &amp; Life-Cycle Factor'!$I$8, IF(AND($E22&gt;='Launch flag &amp; Life-Cycle Factor'!$F$7, $E22&lt;='Launch flag &amp; Life-Cycle Factor'!$E$7),'Launch flag &amp; Life-Cycle Factor'!$I$7, IF(AND($E22&gt;='Launch flag &amp; Life-Cycle Factor'!$F$6, $E22&lt;='Launch flag &amp; Life-Cycle Factor'!$E$6),'Launch flag &amp; Life-Cycle Factor'!$I$6, "-")))))))))))))))))))</f>
        <v>0.35</v>
      </c>
      <c r="R22" s="662">
        <f t="shared" si="0"/>
        <v>29.909379004374806</v>
      </c>
      <c r="S22" s="663">
        <f t="shared" si="1"/>
        <v>16.944618174281768</v>
      </c>
      <c r="T22" s="242">
        <f t="shared" si="2"/>
        <v>29.909379004374806</v>
      </c>
      <c r="U22" s="243">
        <f t="shared" si="3"/>
        <v>16.944618174281768</v>
      </c>
      <c r="V22" s="837">
        <f t="shared" si="4"/>
        <v>46.85399717865657</v>
      </c>
      <c r="W22" s="838">
        <f t="shared" si="5"/>
        <v>46.85399717865657</v>
      </c>
      <c r="X22" s="672"/>
    </row>
    <row r="23" spans="2:24" x14ac:dyDescent="0.35">
      <c r="B23" s="186" t="s">
        <v>43</v>
      </c>
      <c r="C23" s="192" t="s">
        <v>126</v>
      </c>
      <c r="D23" s="206" t="str">
        <f>IF(AND($E23&gt;='Launch flag &amp; Life-Cycle Factor'!$F$24, $E23&lt;='Launch flag &amp; Life-Cycle Factor'!$E$24),'Launch flag &amp; Life-Cycle Factor'!$B$24, IF(AND($E23&gt;='Launch flag &amp; Life-Cycle Factor'!$F$23, $E23&lt;='Launch flag &amp; Life-Cycle Factor'!$E$23),'Launch flag &amp; Life-Cycle Factor'!$B$23, IF(AND($E23&gt;='Launch flag &amp; Life-Cycle Factor'!$F$22, $E23&lt;='Launch flag &amp; Life-Cycle Factor'!$E$22),'Launch flag &amp; Life-Cycle Factor'!$B$22, IF(AND($E23&gt;='Launch flag &amp; Life-Cycle Factor'!$F$21, $E23&lt;='Launch flag &amp; Life-Cycle Factor'!$E$21),'Launch flag &amp; Life-Cycle Factor'!$B$21, IF(AND($E23&gt;='Launch flag &amp; Life-Cycle Factor'!$F$20, $E23&lt;='Launch flag &amp; Life-Cycle Factor'!$E$20),'Launch flag &amp; Life-Cycle Factor'!$B$20, IF(AND($E23&gt;='Launch flag &amp; Life-Cycle Factor'!$F$19, $E23&lt;='Launch flag &amp; Life-Cycle Factor'!$E$19),'Launch flag &amp; Life-Cycle Factor'!$B$19, IF(AND($E23&gt;='Launch flag &amp; Life-Cycle Factor'!$F$18, $E23&lt;='Launch flag &amp; Life-Cycle Factor'!$E$18),'Launch flag &amp; Life-Cycle Factor'!$B$18, IF(AND($E23&gt;='Launch flag &amp; Life-Cycle Factor'!$F$17, $E23&lt;='Launch flag &amp; Life-Cycle Factor'!$E$17),'Launch flag &amp; Life-Cycle Factor'!$B$17, IF(AND($E23&gt;='Launch flag &amp; Life-Cycle Factor'!$F$16, $E23&lt;='Launch flag &amp; Life-Cycle Factor'!$E$16),'Launch flag &amp; Life-Cycle Factor'!$B$16,IF(AND($E23&gt;='Launch flag &amp; Life-Cycle Factor'!$F$15, $E23&lt;='Launch flag &amp; Life-Cycle Factor'!$E$15),'Launch flag &amp; Life-Cycle Factor'!$B$15, IF(AND($E23&gt;='Launch flag &amp; Life-Cycle Factor'!$F$14, $E23&lt;='Launch flag &amp; Life-Cycle Factor'!$E$14),'Launch flag &amp; Life-Cycle Factor'!$B$14,IF(AND($E23&gt;='Launch flag &amp; Life-Cycle Factor'!$F$13, $E23&lt;='Launch flag &amp; Life-Cycle Factor'!$E$13),'Launch flag &amp; Life-Cycle Factor'!$B$13, IF(AND($E23&gt;='Launch flag &amp; Life-Cycle Factor'!$F$12, $E23&lt;='Launch flag &amp; Life-Cycle Factor'!$E$12),'Launch flag &amp; Life-Cycle Factor'!$B$12, IF(AND($E23&gt;='Launch flag &amp; Life-Cycle Factor'!$F$11, $E23&lt;='Launch flag &amp; Life-Cycle Factor'!$E$11),'Launch flag &amp; Life-Cycle Factor'!$B$11, IF(AND($E23&gt;='Launch flag &amp; Life-Cycle Factor'!$F$10, $E23&lt;='Launch flag &amp; Life-Cycle Factor'!$E$10),'Launch flag &amp; Life-Cycle Factor'!$B$10, IF(AND($E23&gt;='Launch flag &amp; Life-Cycle Factor'!$F$9, $E23&lt;='Launch flag &amp; Life-Cycle Factor'!$E$9),'Launch flag &amp; Life-Cycle Factor'!$B$9, IF(AND($E23&gt;='Launch flag &amp; Life-Cycle Factor'!$F$8, $E23&lt;='Launch flag &amp; Life-Cycle Factor'!$E$8),'Launch flag &amp; Life-Cycle Factor'!$B$8, IF(AND($E23&gt;='Launch flag &amp; Life-Cycle Factor'!$F$7, $E23&lt;='Launch flag &amp; Life-Cycle Factor'!$E$7),'Launch flag &amp; Life-Cycle Factor'!$B$7, IF(AND($E23&gt;='Launch flag &amp; Life-Cycle Factor'!$F$6, $E23&lt;='Launch flag &amp; Life-Cycle Factor'!$E$6),'Launch flag &amp; Life-Cycle Factor'!$B$6, "-")))))))))))))))))))</f>
        <v>Mature</v>
      </c>
      <c r="E23" s="219">
        <f>INDEX('NPS with launch Dates '!$J$6:$J$59,MATCH('2.  Sales Data Key &amp; Key-Lyn'!$C23,'NPS with launch Dates '!$I$6:$I$59,0))</f>
        <v>43800</v>
      </c>
      <c r="F23" s="197">
        <f>INDEX('Raw Sales Forecasting Data'!$D$11:$H$126,MATCH('2.  Sales Data Key &amp; Key-Lyn'!$C23,'Raw Sales Forecasting Data'!$C$11:$C$126,0),MATCH('2.  Sales Data Key &amp; Key-Lyn'!F$6,'Raw Sales Forecasting Data'!$D$10:$H$10,0))</f>
        <v>32</v>
      </c>
      <c r="G23" s="198">
        <f>INDEX('Raw Sales Forecasting Data'!$D$11:$H$126,MATCH('2.  Sales Data Key &amp; Key-Lyn'!$C23,'Raw Sales Forecasting Data'!$C$11:$C$126,0),MATCH('2.  Sales Data Key &amp; Key-Lyn'!G$6,'Raw Sales Forecasting Data'!$D$10:$H$10,0))</f>
        <v>22</v>
      </c>
      <c r="H23" s="198">
        <f>INDEX('Raw Sales Forecasting Data'!$D$11:$H$126,MATCH('2.  Sales Data Key &amp; Key-Lyn'!$C23,'Raw Sales Forecasting Data'!$C$11:$C$126,0),MATCH('2.  Sales Data Key &amp; Key-Lyn'!H$6,'Raw Sales Forecasting Data'!$D$10:$H$10,0))</f>
        <v>20</v>
      </c>
      <c r="I23" s="198">
        <f>INDEX('Raw Sales Forecasting Data'!$D$11:$H$126,MATCH('2.  Sales Data Key &amp; Key-Lyn'!$C23,'Raw Sales Forecasting Data'!$C$11:$C$126,0),MATCH('2.  Sales Data Key &amp; Key-Lyn'!I$6,'Raw Sales Forecasting Data'!$D$10:$H$10,0))</f>
        <v>20</v>
      </c>
      <c r="J23" s="199">
        <f>INDEX('Raw Sales Forecasting Data'!$D$11:$H$126,MATCH('2.  Sales Data Key &amp; Key-Lyn'!$C23,'Raw Sales Forecasting Data'!$C$11:$C$126,0),MATCH('2.  Sales Data Key &amp; Key-Lyn'!J$6,'Raw Sales Forecasting Data'!$D$10:$H$10,0))</f>
        <v>21</v>
      </c>
      <c r="K23" s="203">
        <f>INDEX('Raw Sales Forecasting Data'!$J$11:$N$126,MATCH('2.  Sales Data Key &amp; Key-Lyn'!$C23,'Raw Sales Forecasting Data'!$C$11:$C$126,0),MATCH('2.  Sales Data Key &amp; Key-Lyn'!K$6,'Raw Sales Forecasting Data'!$J$10:$N$10,0))</f>
        <v>32</v>
      </c>
      <c r="L23" s="198">
        <f>INDEX('Raw Sales Forecasting Data'!$J$11:$N$126,MATCH('2.  Sales Data Key &amp; Key-Lyn'!$C23,'Raw Sales Forecasting Data'!$C$11:$C$126,0),MATCH('2.  Sales Data Key &amp; Key-Lyn'!L$6,'Raw Sales Forecasting Data'!$J$10:$N$10,0))</f>
        <v>22</v>
      </c>
      <c r="M23" s="198">
        <f>INDEX('Raw Sales Forecasting Data'!$J$11:$N$126,MATCH('2.  Sales Data Key &amp; Key-Lyn'!$C23,'Raw Sales Forecasting Data'!$C$11:$C$126,0),MATCH('2.  Sales Data Key &amp; Key-Lyn'!M$6,'Raw Sales Forecasting Data'!$J$10:$N$10,0))</f>
        <v>20</v>
      </c>
      <c r="N23" s="198">
        <f>INDEX('Raw Sales Forecasting Data'!$J$11:$N$126,MATCH('2.  Sales Data Key &amp; Key-Lyn'!$C23,'Raw Sales Forecasting Data'!$C$11:$C$126,0),MATCH('2.  Sales Data Key &amp; Key-Lyn'!N$6,'Raw Sales Forecasting Data'!$J$10:$N$10,0))</f>
        <v>20</v>
      </c>
      <c r="O23" s="238">
        <f>INDEX('Raw Sales Forecasting Data'!$J$11:$N$126,MATCH('2.  Sales Data Key &amp; Key-Lyn'!$C23,'Raw Sales Forecasting Data'!$C$11:$C$126,0),MATCH('2.  Sales Data Key &amp; Key-Lyn'!O$6,'Raw Sales Forecasting Data'!$J$10:$N$10,0))</f>
        <v>21</v>
      </c>
      <c r="P23" s="240">
        <f>IF(AND($E23&gt;='Launch flag &amp; Life-Cycle Factor'!$F$24, $E23&lt;='Launch flag &amp; Life-Cycle Factor'!$E$24),'Launch flag &amp; Life-Cycle Factor'!$H$24, IF(AND($E23&gt;='Launch flag &amp; Life-Cycle Factor'!$F$23, $E23&lt;='Launch flag &amp; Life-Cycle Factor'!$E$23),'Launch flag &amp; Life-Cycle Factor'!$H$23, IF(AND($E23&gt;='Launch flag &amp; Life-Cycle Factor'!$F$22, $E23&lt;='Launch flag &amp; Life-Cycle Factor'!$E$22),'Launch flag &amp; Life-Cycle Factor'!$H$22, IF(AND($E23&gt;='Launch flag &amp; Life-Cycle Factor'!$F$21, $E23&lt;='Launch flag &amp; Life-Cycle Factor'!$E$21),'Launch flag &amp; Life-Cycle Factor'!$H$21, IF(AND($E23&gt;='Launch flag &amp; Life-Cycle Factor'!$F$20, $E23&lt;='Launch flag &amp; Life-Cycle Factor'!$E$20),'Launch flag &amp; Life-Cycle Factor'!$H$20, IF(AND($E23&gt;='Launch flag &amp; Life-Cycle Factor'!$F$19, $E23&lt;='Launch flag &amp; Life-Cycle Factor'!$E$19),'Launch flag &amp; Life-Cycle Factor'!$H$19, IF(AND($E23&gt;='Launch flag &amp; Life-Cycle Factor'!$F$18, $E23&lt;='Launch flag &amp; Life-Cycle Factor'!$E$18),'Launch flag &amp; Life-Cycle Factor'!$H$18, IF(AND($E23&gt;='Launch flag &amp; Life-Cycle Factor'!$F$17, $E23&lt;='Launch flag &amp; Life-Cycle Factor'!$E$17),'Launch flag &amp; Life-Cycle Factor'!$H$17, IF(AND($E23&gt;='Launch flag &amp; Life-Cycle Factor'!$F$16, $E23&lt;='Launch flag &amp; Life-Cycle Factor'!$E$16),'Launch flag &amp; Life-Cycle Factor'!$H$16,IF(AND($E23&gt;='Launch flag &amp; Life-Cycle Factor'!$F$15, $E23&lt;='Launch flag &amp; Life-Cycle Factor'!$E$15),'Launch flag &amp; Life-Cycle Factor'!$H$15, IF(AND($E23&gt;='Launch flag &amp; Life-Cycle Factor'!$F$14, $E23&lt;='Launch flag &amp; Life-Cycle Factor'!$E$14),'Launch flag &amp; Life-Cycle Factor'!$H$14,IF(AND($E23&gt;='Launch flag &amp; Life-Cycle Factor'!$F$13, $E23&lt;='Launch flag &amp; Life-Cycle Factor'!$E$13),'Launch flag &amp; Life-Cycle Factor'!$H$13, IF(AND($E23&gt;='Launch flag &amp; Life-Cycle Factor'!$F$12, $E23&lt;='Launch flag &amp; Life-Cycle Factor'!$E$12),'Launch flag &amp; Life-Cycle Factor'!$H$12, IF(AND($E23&gt;='Launch flag &amp; Life-Cycle Factor'!$F$11, $E23&lt;='Launch flag &amp; Life-Cycle Factor'!$E$11),'Launch flag &amp; Life-Cycle Factor'!$H$11, IF(AND($E23&gt;='Launch flag &amp; Life-Cycle Factor'!$F$10, $E23&lt;='Launch flag &amp; Life-Cycle Factor'!$E$10),'Launch flag &amp; Life-Cycle Factor'!$H$10, IF(AND($E23&gt;='Launch flag &amp; Life-Cycle Factor'!$F$9, $E23&lt;='Launch flag &amp; Life-Cycle Factor'!$E$9),'Launch flag &amp; Life-Cycle Factor'!$H$9, IF(AND($E23&gt;='Launch flag &amp; Life-Cycle Factor'!$F$8, $E23&lt;='Launch flag &amp; Life-Cycle Factor'!$E$8),'Launch flag &amp; Life-Cycle Factor'!$H$8, IF(AND($E23&gt;='Launch flag &amp; Life-Cycle Factor'!$F$7, $E23&lt;='Launch flag &amp; Life-Cycle Factor'!$E$7),'Launch flag &amp; Life-Cycle Factor'!$H$7, IF(AND($E23&gt;='Launch flag &amp; Life-Cycle Factor'!$F$6, $E23&lt;='Launch flag &amp; Life-Cycle Factor'!$E$6),'Launch flag &amp; Life-Cycle Factor'!$H$6, "-")))))))))))))))))))</f>
        <v>0.65</v>
      </c>
      <c r="Q23" s="655">
        <f>IF(AND($E23&gt;='Launch flag &amp; Life-Cycle Factor'!$F$24, $E23&lt;='Launch flag &amp; Life-Cycle Factor'!$E$24),'Launch flag &amp; Life-Cycle Factor'!$I$24, IF(AND($E23&gt;='Launch flag &amp; Life-Cycle Factor'!$F$23, $E23&lt;='Launch flag &amp; Life-Cycle Factor'!$E$23),'Launch flag &amp; Life-Cycle Factor'!$I$23, IF(AND($E23&gt;='Launch flag &amp; Life-Cycle Factor'!$F$22, $E23&lt;='Launch flag &amp; Life-Cycle Factor'!$E$22),'Launch flag &amp; Life-Cycle Factor'!$I$22, IF(AND($E23&gt;='Launch flag &amp; Life-Cycle Factor'!$F$21, $E23&lt;='Launch flag &amp; Life-Cycle Factor'!$E$21),'Launch flag &amp; Life-Cycle Factor'!$I$21, IF(AND($E23&gt;='Launch flag &amp; Life-Cycle Factor'!$F$20, $E23&lt;='Launch flag &amp; Life-Cycle Factor'!$E$20),'Launch flag &amp; Life-Cycle Factor'!$I$20, IF(AND($E23&gt;='Launch flag &amp; Life-Cycle Factor'!$F$19, $E23&lt;='Launch flag &amp; Life-Cycle Factor'!$E$19),'Launch flag &amp; Life-Cycle Factor'!$I$19, IF(AND($E23&gt;='Launch flag &amp; Life-Cycle Factor'!$F$18, $E23&lt;='Launch flag &amp; Life-Cycle Factor'!$E$18),'Launch flag &amp; Life-Cycle Factor'!$I$18, IF(AND($E23&gt;='Launch flag &amp; Life-Cycle Factor'!$F$17, $E23&lt;='Launch flag &amp; Life-Cycle Factor'!$E$17),'Launch flag &amp; Life-Cycle Factor'!$I$17, IF(AND($E23&gt;='Launch flag &amp; Life-Cycle Factor'!$F$16, $E23&lt;='Launch flag &amp; Life-Cycle Factor'!$E$16),'Launch flag &amp; Life-Cycle Factor'!$I$16,IF(AND($E23&gt;='Launch flag &amp; Life-Cycle Factor'!$F$15, $E23&lt;='Launch flag &amp; Life-Cycle Factor'!$E$15),'Launch flag &amp; Life-Cycle Factor'!$I$15, IF(AND($E23&gt;='Launch flag &amp; Life-Cycle Factor'!$F$14, $E23&lt;='Launch flag &amp; Life-Cycle Factor'!$E$14),'Launch flag &amp; Life-Cycle Factor'!$I$14,IF(AND($E23&gt;='Launch flag &amp; Life-Cycle Factor'!$F$13, $E23&lt;='Launch flag &amp; Life-Cycle Factor'!$E$13),'Launch flag &amp; Life-Cycle Factor'!$I$13, IF(AND($E23&gt;='Launch flag &amp; Life-Cycle Factor'!$F$12, $E23&lt;='Launch flag &amp; Life-Cycle Factor'!$E$12),'Launch flag &amp; Life-Cycle Factor'!$I$12, IF(AND($E23&gt;='Launch flag &amp; Life-Cycle Factor'!$F$11, $E23&lt;='Launch flag &amp; Life-Cycle Factor'!$E$11),'Launch flag &amp; Life-Cycle Factor'!$I$11, IF(AND($E23&gt;='Launch flag &amp; Life-Cycle Factor'!$F$10, $E23&lt;='Launch flag &amp; Life-Cycle Factor'!$E$10),'Launch flag &amp; Life-Cycle Factor'!$I$10, IF(AND($E23&gt;='Launch flag &amp; Life-Cycle Factor'!$F$9, $E23&lt;='Launch flag &amp; Life-Cycle Factor'!$E$9),'Launch flag &amp; Life-Cycle Factor'!$I$9, IF(AND($E23&gt;='Launch flag &amp; Life-Cycle Factor'!$F$8, $E23&lt;='Launch flag &amp; Life-Cycle Factor'!$E$8),'Launch flag &amp; Life-Cycle Factor'!$I$8, IF(AND($E23&gt;='Launch flag &amp; Life-Cycle Factor'!$F$7, $E23&lt;='Launch flag &amp; Life-Cycle Factor'!$E$7),'Launch flag &amp; Life-Cycle Factor'!$I$7, IF(AND($E23&gt;='Launch flag &amp; Life-Cycle Factor'!$F$6, $E23&lt;='Launch flag &amp; Life-Cycle Factor'!$E$6),'Launch flag &amp; Life-Cycle Factor'!$I$6, "-")))))))))))))))))))</f>
        <v>0.35</v>
      </c>
      <c r="R23" s="662">
        <f t="shared" si="0"/>
        <v>14.3</v>
      </c>
      <c r="S23" s="663">
        <f t="shared" si="1"/>
        <v>7</v>
      </c>
      <c r="T23" s="242">
        <f t="shared" si="2"/>
        <v>14.3</v>
      </c>
      <c r="U23" s="243">
        <f t="shared" si="3"/>
        <v>7</v>
      </c>
      <c r="V23" s="837">
        <f t="shared" si="4"/>
        <v>21.3</v>
      </c>
      <c r="W23" s="838">
        <f t="shared" si="5"/>
        <v>21.3</v>
      </c>
      <c r="X23" s="672"/>
    </row>
    <row r="24" spans="2:24" x14ac:dyDescent="0.35">
      <c r="B24" s="186" t="s">
        <v>43</v>
      </c>
      <c r="C24" s="192" t="s">
        <v>133</v>
      </c>
      <c r="D24" s="206" t="str">
        <f>IF(AND($E24&gt;='Launch flag &amp; Life-Cycle Factor'!$F$24, $E24&lt;='Launch flag &amp; Life-Cycle Factor'!$E$24),'Launch flag &amp; Life-Cycle Factor'!$B$24, IF(AND($E24&gt;='Launch flag &amp; Life-Cycle Factor'!$F$23, $E24&lt;='Launch flag &amp; Life-Cycle Factor'!$E$23),'Launch flag &amp; Life-Cycle Factor'!$B$23, IF(AND($E24&gt;='Launch flag &amp; Life-Cycle Factor'!$F$22, $E24&lt;='Launch flag &amp; Life-Cycle Factor'!$E$22),'Launch flag &amp; Life-Cycle Factor'!$B$22, IF(AND($E24&gt;='Launch flag &amp; Life-Cycle Factor'!$F$21, $E24&lt;='Launch flag &amp; Life-Cycle Factor'!$E$21),'Launch flag &amp; Life-Cycle Factor'!$B$21, IF(AND($E24&gt;='Launch flag &amp; Life-Cycle Factor'!$F$20, $E24&lt;='Launch flag &amp; Life-Cycle Factor'!$E$20),'Launch flag &amp; Life-Cycle Factor'!$B$20, IF(AND($E24&gt;='Launch flag &amp; Life-Cycle Factor'!$F$19, $E24&lt;='Launch flag &amp; Life-Cycle Factor'!$E$19),'Launch flag &amp; Life-Cycle Factor'!$B$19, IF(AND($E24&gt;='Launch flag &amp; Life-Cycle Factor'!$F$18, $E24&lt;='Launch flag &amp; Life-Cycle Factor'!$E$18),'Launch flag &amp; Life-Cycle Factor'!$B$18, IF(AND($E24&gt;='Launch flag &amp; Life-Cycle Factor'!$F$17, $E24&lt;='Launch flag &amp; Life-Cycle Factor'!$E$17),'Launch flag &amp; Life-Cycle Factor'!$B$17, IF(AND($E24&gt;='Launch flag &amp; Life-Cycle Factor'!$F$16, $E24&lt;='Launch flag &amp; Life-Cycle Factor'!$E$16),'Launch flag &amp; Life-Cycle Factor'!$B$16,IF(AND($E24&gt;='Launch flag &amp; Life-Cycle Factor'!$F$15, $E24&lt;='Launch flag &amp; Life-Cycle Factor'!$E$15),'Launch flag &amp; Life-Cycle Factor'!$B$15, IF(AND($E24&gt;='Launch flag &amp; Life-Cycle Factor'!$F$14, $E24&lt;='Launch flag &amp; Life-Cycle Factor'!$E$14),'Launch flag &amp; Life-Cycle Factor'!$B$14,IF(AND($E24&gt;='Launch flag &amp; Life-Cycle Factor'!$F$13, $E24&lt;='Launch flag &amp; Life-Cycle Factor'!$E$13),'Launch flag &amp; Life-Cycle Factor'!$B$13, IF(AND($E24&gt;='Launch flag &amp; Life-Cycle Factor'!$F$12, $E24&lt;='Launch flag &amp; Life-Cycle Factor'!$E$12),'Launch flag &amp; Life-Cycle Factor'!$B$12, IF(AND($E24&gt;='Launch flag &amp; Life-Cycle Factor'!$F$11, $E24&lt;='Launch flag &amp; Life-Cycle Factor'!$E$11),'Launch flag &amp; Life-Cycle Factor'!$B$11, IF(AND($E24&gt;='Launch flag &amp; Life-Cycle Factor'!$F$10, $E24&lt;='Launch flag &amp; Life-Cycle Factor'!$E$10),'Launch flag &amp; Life-Cycle Factor'!$B$10, IF(AND($E24&gt;='Launch flag &amp; Life-Cycle Factor'!$F$9, $E24&lt;='Launch flag &amp; Life-Cycle Factor'!$E$9),'Launch flag &amp; Life-Cycle Factor'!$B$9, IF(AND($E24&gt;='Launch flag &amp; Life-Cycle Factor'!$F$8, $E24&lt;='Launch flag &amp; Life-Cycle Factor'!$E$8),'Launch flag &amp; Life-Cycle Factor'!$B$8, IF(AND($E24&gt;='Launch flag &amp; Life-Cycle Factor'!$F$7, $E24&lt;='Launch flag &amp; Life-Cycle Factor'!$E$7),'Launch flag &amp; Life-Cycle Factor'!$B$7, IF(AND($E24&gt;='Launch flag &amp; Life-Cycle Factor'!$F$6, $E24&lt;='Launch flag &amp; Life-Cycle Factor'!$E$6),'Launch flag &amp; Life-Cycle Factor'!$B$6, "-")))))))))))))))))))</f>
        <v>Mature</v>
      </c>
      <c r="E24" s="219">
        <f>INDEX('NPS with launch Dates '!$J$6:$J$59,MATCH('2.  Sales Data Key &amp; Key-Lyn'!$C24,'NPS with launch Dates '!$I$6:$I$59,0))</f>
        <v>43101</v>
      </c>
      <c r="F24" s="197">
        <f>INDEX('Raw Sales Forecasting Data'!$D$11:$H$126,MATCH('2.  Sales Data Key &amp; Key-Lyn'!$C24,'Raw Sales Forecasting Data'!$C$11:$C$126,0),MATCH('2.  Sales Data Key &amp; Key-Lyn'!F$6,'Raw Sales Forecasting Data'!$D$10:$H$10,0))</f>
        <v>16.574736680402179</v>
      </c>
      <c r="G24" s="198">
        <f>INDEX('Raw Sales Forecasting Data'!$D$11:$H$126,MATCH('2.  Sales Data Key &amp; Key-Lyn'!$C24,'Raw Sales Forecasting Data'!$C$11:$C$126,0),MATCH('2.  Sales Data Key &amp; Key-Lyn'!G$6,'Raw Sales Forecasting Data'!$D$10:$H$10,0))</f>
        <v>5.43125806572756</v>
      </c>
      <c r="H24" s="198">
        <f>INDEX('Raw Sales Forecasting Data'!$D$11:$H$126,MATCH('2.  Sales Data Key &amp; Key-Lyn'!$C24,'Raw Sales Forecasting Data'!$C$11:$C$126,0),MATCH('2.  Sales Data Key &amp; Key-Lyn'!H$6,'Raw Sales Forecasting Data'!$D$10:$H$10,0))</f>
        <v>3.1286483413342854</v>
      </c>
      <c r="I24" s="198">
        <f>INDEX('Raw Sales Forecasting Data'!$D$11:$H$126,MATCH('2.  Sales Data Key &amp; Key-Lyn'!$C24,'Raw Sales Forecasting Data'!$C$11:$C$126,0),MATCH('2.  Sales Data Key &amp; Key-Lyn'!I$6,'Raw Sales Forecasting Data'!$D$10:$H$10,0))</f>
        <v>3.0183640806392917</v>
      </c>
      <c r="J24" s="199">
        <f>INDEX('Raw Sales Forecasting Data'!$D$11:$H$126,MATCH('2.  Sales Data Key &amp; Key-Lyn'!$C24,'Raw Sales Forecasting Data'!$C$11:$C$126,0),MATCH('2.  Sales Data Key &amp; Key-Lyn'!J$6,'Raw Sales Forecasting Data'!$D$10:$H$10,0))</f>
        <v>3.0756723764310148</v>
      </c>
      <c r="K24" s="203">
        <f>INDEX('Raw Sales Forecasting Data'!$J$11:$N$126,MATCH('2.  Sales Data Key &amp; Key-Lyn'!$C24,'Raw Sales Forecasting Data'!$C$11:$C$126,0),MATCH('2.  Sales Data Key &amp; Key-Lyn'!K$6,'Raw Sales Forecasting Data'!$J$10:$N$10,0))</f>
        <v>16.574736680402179</v>
      </c>
      <c r="L24" s="198">
        <f>INDEX('Raw Sales Forecasting Data'!$J$11:$N$126,MATCH('2.  Sales Data Key &amp; Key-Lyn'!$C24,'Raw Sales Forecasting Data'!$C$11:$C$126,0),MATCH('2.  Sales Data Key &amp; Key-Lyn'!L$6,'Raw Sales Forecasting Data'!$J$10:$N$10,0))</f>
        <v>5.43125806572756</v>
      </c>
      <c r="M24" s="198">
        <f>INDEX('Raw Sales Forecasting Data'!$J$11:$N$126,MATCH('2.  Sales Data Key &amp; Key-Lyn'!$C24,'Raw Sales Forecasting Data'!$C$11:$C$126,0),MATCH('2.  Sales Data Key &amp; Key-Lyn'!M$6,'Raw Sales Forecasting Data'!$J$10:$N$10,0))</f>
        <v>3.1286483413342854</v>
      </c>
      <c r="N24" s="198">
        <f>INDEX('Raw Sales Forecasting Data'!$J$11:$N$126,MATCH('2.  Sales Data Key &amp; Key-Lyn'!$C24,'Raw Sales Forecasting Data'!$C$11:$C$126,0),MATCH('2.  Sales Data Key &amp; Key-Lyn'!N$6,'Raw Sales Forecasting Data'!$J$10:$N$10,0))</f>
        <v>3.0183640806392917</v>
      </c>
      <c r="O24" s="238">
        <f>INDEX('Raw Sales Forecasting Data'!$J$11:$N$126,MATCH('2.  Sales Data Key &amp; Key-Lyn'!$C24,'Raw Sales Forecasting Data'!$C$11:$C$126,0),MATCH('2.  Sales Data Key &amp; Key-Lyn'!O$6,'Raw Sales Forecasting Data'!$J$10:$N$10,0))</f>
        <v>3.0756723764310148</v>
      </c>
      <c r="P24" s="240">
        <f>IF(AND($E24&gt;='Launch flag &amp; Life-Cycle Factor'!$F$24, $E24&lt;='Launch flag &amp; Life-Cycle Factor'!$E$24),'Launch flag &amp; Life-Cycle Factor'!$H$24, IF(AND($E24&gt;='Launch flag &amp; Life-Cycle Factor'!$F$23, $E24&lt;='Launch flag &amp; Life-Cycle Factor'!$E$23),'Launch flag &amp; Life-Cycle Factor'!$H$23, IF(AND($E24&gt;='Launch flag &amp; Life-Cycle Factor'!$F$22, $E24&lt;='Launch flag &amp; Life-Cycle Factor'!$E$22),'Launch flag &amp; Life-Cycle Factor'!$H$22, IF(AND($E24&gt;='Launch flag &amp; Life-Cycle Factor'!$F$21, $E24&lt;='Launch flag &amp; Life-Cycle Factor'!$E$21),'Launch flag &amp; Life-Cycle Factor'!$H$21, IF(AND($E24&gt;='Launch flag &amp; Life-Cycle Factor'!$F$20, $E24&lt;='Launch flag &amp; Life-Cycle Factor'!$E$20),'Launch flag &amp; Life-Cycle Factor'!$H$20, IF(AND($E24&gt;='Launch flag &amp; Life-Cycle Factor'!$F$19, $E24&lt;='Launch flag &amp; Life-Cycle Factor'!$E$19),'Launch flag &amp; Life-Cycle Factor'!$H$19, IF(AND($E24&gt;='Launch flag &amp; Life-Cycle Factor'!$F$18, $E24&lt;='Launch flag &amp; Life-Cycle Factor'!$E$18),'Launch flag &amp; Life-Cycle Factor'!$H$18, IF(AND($E24&gt;='Launch flag &amp; Life-Cycle Factor'!$F$17, $E24&lt;='Launch flag &amp; Life-Cycle Factor'!$E$17),'Launch flag &amp; Life-Cycle Factor'!$H$17, IF(AND($E24&gt;='Launch flag &amp; Life-Cycle Factor'!$F$16, $E24&lt;='Launch flag &amp; Life-Cycle Factor'!$E$16),'Launch flag &amp; Life-Cycle Factor'!$H$16,IF(AND($E24&gt;='Launch flag &amp; Life-Cycle Factor'!$F$15, $E24&lt;='Launch flag &amp; Life-Cycle Factor'!$E$15),'Launch flag &amp; Life-Cycle Factor'!$H$15, IF(AND($E24&gt;='Launch flag &amp; Life-Cycle Factor'!$F$14, $E24&lt;='Launch flag &amp; Life-Cycle Factor'!$E$14),'Launch flag &amp; Life-Cycle Factor'!$H$14,IF(AND($E24&gt;='Launch flag &amp; Life-Cycle Factor'!$F$13, $E24&lt;='Launch flag &amp; Life-Cycle Factor'!$E$13),'Launch flag &amp; Life-Cycle Factor'!$H$13, IF(AND($E24&gt;='Launch flag &amp; Life-Cycle Factor'!$F$12, $E24&lt;='Launch flag &amp; Life-Cycle Factor'!$E$12),'Launch flag &amp; Life-Cycle Factor'!$H$12, IF(AND($E24&gt;='Launch flag &amp; Life-Cycle Factor'!$F$11, $E24&lt;='Launch flag &amp; Life-Cycle Factor'!$E$11),'Launch flag &amp; Life-Cycle Factor'!$H$11, IF(AND($E24&gt;='Launch flag &amp; Life-Cycle Factor'!$F$10, $E24&lt;='Launch flag &amp; Life-Cycle Factor'!$E$10),'Launch flag &amp; Life-Cycle Factor'!$H$10, IF(AND($E24&gt;='Launch flag &amp; Life-Cycle Factor'!$F$9, $E24&lt;='Launch flag &amp; Life-Cycle Factor'!$E$9),'Launch flag &amp; Life-Cycle Factor'!$H$9, IF(AND($E24&gt;='Launch flag &amp; Life-Cycle Factor'!$F$8, $E24&lt;='Launch flag &amp; Life-Cycle Factor'!$E$8),'Launch flag &amp; Life-Cycle Factor'!$H$8, IF(AND($E24&gt;='Launch flag &amp; Life-Cycle Factor'!$F$7, $E24&lt;='Launch flag &amp; Life-Cycle Factor'!$E$7),'Launch flag &amp; Life-Cycle Factor'!$H$7, IF(AND($E24&gt;='Launch flag &amp; Life-Cycle Factor'!$F$6, $E24&lt;='Launch flag &amp; Life-Cycle Factor'!$E$6),'Launch flag &amp; Life-Cycle Factor'!$H$6, "-")))))))))))))))))))</f>
        <v>0.65</v>
      </c>
      <c r="Q24" s="655">
        <f>IF(AND($E24&gt;='Launch flag &amp; Life-Cycle Factor'!$F$24, $E24&lt;='Launch flag &amp; Life-Cycle Factor'!$E$24),'Launch flag &amp; Life-Cycle Factor'!$I$24, IF(AND($E24&gt;='Launch flag &amp; Life-Cycle Factor'!$F$23, $E24&lt;='Launch flag &amp; Life-Cycle Factor'!$E$23),'Launch flag &amp; Life-Cycle Factor'!$I$23, IF(AND($E24&gt;='Launch flag &amp; Life-Cycle Factor'!$F$22, $E24&lt;='Launch flag &amp; Life-Cycle Factor'!$E$22),'Launch flag &amp; Life-Cycle Factor'!$I$22, IF(AND($E24&gt;='Launch flag &amp; Life-Cycle Factor'!$F$21, $E24&lt;='Launch flag &amp; Life-Cycle Factor'!$E$21),'Launch flag &amp; Life-Cycle Factor'!$I$21, IF(AND($E24&gt;='Launch flag &amp; Life-Cycle Factor'!$F$20, $E24&lt;='Launch flag &amp; Life-Cycle Factor'!$E$20),'Launch flag &amp; Life-Cycle Factor'!$I$20, IF(AND($E24&gt;='Launch flag &amp; Life-Cycle Factor'!$F$19, $E24&lt;='Launch flag &amp; Life-Cycle Factor'!$E$19),'Launch flag &amp; Life-Cycle Factor'!$I$19, IF(AND($E24&gt;='Launch flag &amp; Life-Cycle Factor'!$F$18, $E24&lt;='Launch flag &amp; Life-Cycle Factor'!$E$18),'Launch flag &amp; Life-Cycle Factor'!$I$18, IF(AND($E24&gt;='Launch flag &amp; Life-Cycle Factor'!$F$17, $E24&lt;='Launch flag &amp; Life-Cycle Factor'!$E$17),'Launch flag &amp; Life-Cycle Factor'!$I$17, IF(AND($E24&gt;='Launch flag &amp; Life-Cycle Factor'!$F$16, $E24&lt;='Launch flag &amp; Life-Cycle Factor'!$E$16),'Launch flag &amp; Life-Cycle Factor'!$I$16,IF(AND($E24&gt;='Launch flag &amp; Life-Cycle Factor'!$F$15, $E24&lt;='Launch flag &amp; Life-Cycle Factor'!$E$15),'Launch flag &amp; Life-Cycle Factor'!$I$15, IF(AND($E24&gt;='Launch flag &amp; Life-Cycle Factor'!$F$14, $E24&lt;='Launch flag &amp; Life-Cycle Factor'!$E$14),'Launch flag &amp; Life-Cycle Factor'!$I$14,IF(AND($E24&gt;='Launch flag &amp; Life-Cycle Factor'!$F$13, $E24&lt;='Launch flag &amp; Life-Cycle Factor'!$E$13),'Launch flag &amp; Life-Cycle Factor'!$I$13, IF(AND($E24&gt;='Launch flag &amp; Life-Cycle Factor'!$F$12, $E24&lt;='Launch flag &amp; Life-Cycle Factor'!$E$12),'Launch flag &amp; Life-Cycle Factor'!$I$12, IF(AND($E24&gt;='Launch flag &amp; Life-Cycle Factor'!$F$11, $E24&lt;='Launch flag &amp; Life-Cycle Factor'!$E$11),'Launch flag &amp; Life-Cycle Factor'!$I$11, IF(AND($E24&gt;='Launch flag &amp; Life-Cycle Factor'!$F$10, $E24&lt;='Launch flag &amp; Life-Cycle Factor'!$E$10),'Launch flag &amp; Life-Cycle Factor'!$I$10, IF(AND($E24&gt;='Launch flag &amp; Life-Cycle Factor'!$F$9, $E24&lt;='Launch flag &amp; Life-Cycle Factor'!$E$9),'Launch flag &amp; Life-Cycle Factor'!$I$9, IF(AND($E24&gt;='Launch flag &amp; Life-Cycle Factor'!$F$8, $E24&lt;='Launch flag &amp; Life-Cycle Factor'!$E$8),'Launch flag &amp; Life-Cycle Factor'!$I$8, IF(AND($E24&gt;='Launch flag &amp; Life-Cycle Factor'!$F$7, $E24&lt;='Launch flag &amp; Life-Cycle Factor'!$E$7),'Launch flag &amp; Life-Cycle Factor'!$I$7, IF(AND($E24&gt;='Launch flag &amp; Life-Cycle Factor'!$F$6, $E24&lt;='Launch flag &amp; Life-Cycle Factor'!$E$6),'Launch flag &amp; Life-Cycle Factor'!$I$6, "-")))))))))))))))))))</f>
        <v>0.35</v>
      </c>
      <c r="R24" s="662">
        <f t="shared" si="0"/>
        <v>3.530317742722914</v>
      </c>
      <c r="S24" s="663">
        <f t="shared" si="1"/>
        <v>1.0950269194669997</v>
      </c>
      <c r="T24" s="242">
        <f t="shared" si="2"/>
        <v>3.530317742722914</v>
      </c>
      <c r="U24" s="243">
        <f t="shared" si="3"/>
        <v>1.0950269194669997</v>
      </c>
      <c r="V24" s="837">
        <f t="shared" si="4"/>
        <v>4.6253446621899137</v>
      </c>
      <c r="W24" s="838">
        <f t="shared" si="5"/>
        <v>4.6253446621899137</v>
      </c>
      <c r="X24" s="672"/>
    </row>
    <row r="25" spans="2:24" x14ac:dyDescent="0.35">
      <c r="B25" s="186" t="s">
        <v>43</v>
      </c>
      <c r="C25" s="192" t="s">
        <v>136</v>
      </c>
      <c r="D25" s="206" t="str">
        <f>IF(AND($E25&gt;='Launch flag &amp; Life-Cycle Factor'!$F$24, $E25&lt;='Launch flag &amp; Life-Cycle Factor'!$E$24),'Launch flag &amp; Life-Cycle Factor'!$B$24, IF(AND($E25&gt;='Launch flag &amp; Life-Cycle Factor'!$F$23, $E25&lt;='Launch flag &amp; Life-Cycle Factor'!$E$23),'Launch flag &amp; Life-Cycle Factor'!$B$23, IF(AND($E25&gt;='Launch flag &amp; Life-Cycle Factor'!$F$22, $E25&lt;='Launch flag &amp; Life-Cycle Factor'!$E$22),'Launch flag &amp; Life-Cycle Factor'!$B$22, IF(AND($E25&gt;='Launch flag &amp; Life-Cycle Factor'!$F$21, $E25&lt;='Launch flag &amp; Life-Cycle Factor'!$E$21),'Launch flag &amp; Life-Cycle Factor'!$B$21, IF(AND($E25&gt;='Launch flag &amp; Life-Cycle Factor'!$F$20, $E25&lt;='Launch flag &amp; Life-Cycle Factor'!$E$20),'Launch flag &amp; Life-Cycle Factor'!$B$20, IF(AND($E25&gt;='Launch flag &amp; Life-Cycle Factor'!$F$19, $E25&lt;='Launch flag &amp; Life-Cycle Factor'!$E$19),'Launch flag &amp; Life-Cycle Factor'!$B$19, IF(AND($E25&gt;='Launch flag &amp; Life-Cycle Factor'!$F$18, $E25&lt;='Launch flag &amp; Life-Cycle Factor'!$E$18),'Launch flag &amp; Life-Cycle Factor'!$B$18, IF(AND($E25&gt;='Launch flag &amp; Life-Cycle Factor'!$F$17, $E25&lt;='Launch flag &amp; Life-Cycle Factor'!$E$17),'Launch flag &amp; Life-Cycle Factor'!$B$17, IF(AND($E25&gt;='Launch flag &amp; Life-Cycle Factor'!$F$16, $E25&lt;='Launch flag &amp; Life-Cycle Factor'!$E$16),'Launch flag &amp; Life-Cycle Factor'!$B$16,IF(AND($E25&gt;='Launch flag &amp; Life-Cycle Factor'!$F$15, $E25&lt;='Launch flag &amp; Life-Cycle Factor'!$E$15),'Launch flag &amp; Life-Cycle Factor'!$B$15, IF(AND($E25&gt;='Launch flag &amp; Life-Cycle Factor'!$F$14, $E25&lt;='Launch flag &amp; Life-Cycle Factor'!$E$14),'Launch flag &amp; Life-Cycle Factor'!$B$14,IF(AND($E25&gt;='Launch flag &amp; Life-Cycle Factor'!$F$13, $E25&lt;='Launch flag &amp; Life-Cycle Factor'!$E$13),'Launch flag &amp; Life-Cycle Factor'!$B$13, IF(AND($E25&gt;='Launch flag &amp; Life-Cycle Factor'!$F$12, $E25&lt;='Launch flag &amp; Life-Cycle Factor'!$E$12),'Launch flag &amp; Life-Cycle Factor'!$B$12, IF(AND($E25&gt;='Launch flag &amp; Life-Cycle Factor'!$F$11, $E25&lt;='Launch flag &amp; Life-Cycle Factor'!$E$11),'Launch flag &amp; Life-Cycle Factor'!$B$11, IF(AND($E25&gt;='Launch flag &amp; Life-Cycle Factor'!$F$10, $E25&lt;='Launch flag &amp; Life-Cycle Factor'!$E$10),'Launch flag &amp; Life-Cycle Factor'!$B$10, IF(AND($E25&gt;='Launch flag &amp; Life-Cycle Factor'!$F$9, $E25&lt;='Launch flag &amp; Life-Cycle Factor'!$E$9),'Launch flag &amp; Life-Cycle Factor'!$B$9, IF(AND($E25&gt;='Launch flag &amp; Life-Cycle Factor'!$F$8, $E25&lt;='Launch flag &amp; Life-Cycle Factor'!$E$8),'Launch flag &amp; Life-Cycle Factor'!$B$8, IF(AND($E25&gt;='Launch flag &amp; Life-Cycle Factor'!$F$7, $E25&lt;='Launch flag &amp; Life-Cycle Factor'!$E$7),'Launch flag &amp; Life-Cycle Factor'!$B$7, IF(AND($E25&gt;='Launch flag &amp; Life-Cycle Factor'!$F$6, $E25&lt;='Launch flag &amp; Life-Cycle Factor'!$E$6),'Launch flag &amp; Life-Cycle Factor'!$B$6, "-")))))))))))))))))))</f>
        <v>Future Launch</v>
      </c>
      <c r="E25" s="219">
        <f>INDEX('NPS with launch Dates '!$J$6:$J$59,MATCH('2.  Sales Data Key &amp; Key-Lyn'!$C25,'NPS with launch Dates '!$I$6:$I$59,0))</f>
        <v>45840</v>
      </c>
      <c r="F25" s="197">
        <f>INDEX('Raw Sales Forecasting Data'!$D$11:$H$126,MATCH('2.  Sales Data Key &amp; Key-Lyn'!$C25,'Raw Sales Forecasting Data'!$C$11:$C$126,0),MATCH('2.  Sales Data Key &amp; Key-Lyn'!F$6,'Raw Sales Forecasting Data'!$D$10:$H$10,0))</f>
        <v>0</v>
      </c>
      <c r="G25" s="198">
        <f>INDEX('Raw Sales Forecasting Data'!$D$11:$H$126,MATCH('2.  Sales Data Key &amp; Key-Lyn'!$C25,'Raw Sales Forecasting Data'!$C$11:$C$126,0),MATCH('2.  Sales Data Key &amp; Key-Lyn'!G$6,'Raw Sales Forecasting Data'!$D$10:$H$10,0))</f>
        <v>0</v>
      </c>
      <c r="H25" s="198">
        <f>INDEX('Raw Sales Forecasting Data'!$D$11:$H$126,MATCH('2.  Sales Data Key &amp; Key-Lyn'!$C25,'Raw Sales Forecasting Data'!$C$11:$C$126,0),MATCH('2.  Sales Data Key &amp; Key-Lyn'!H$6,'Raw Sales Forecasting Data'!$D$10:$H$10,0))</f>
        <v>3</v>
      </c>
      <c r="I25" s="198">
        <f>INDEX('Raw Sales Forecasting Data'!$D$11:$H$126,MATCH('2.  Sales Data Key &amp; Key-Lyn'!$C25,'Raw Sales Forecasting Data'!$C$11:$C$126,0),MATCH('2.  Sales Data Key &amp; Key-Lyn'!I$6,'Raw Sales Forecasting Data'!$D$10:$H$10,0))</f>
        <v>37</v>
      </c>
      <c r="J25" s="199">
        <f>INDEX('Raw Sales Forecasting Data'!$D$11:$H$126,MATCH('2.  Sales Data Key &amp; Key-Lyn'!$C25,'Raw Sales Forecasting Data'!$C$11:$C$126,0),MATCH('2.  Sales Data Key &amp; Key-Lyn'!J$6,'Raw Sales Forecasting Data'!$D$10:$H$10,0))</f>
        <v>59</v>
      </c>
      <c r="K25" s="203">
        <f>INDEX('Raw Sales Forecasting Data'!$J$11:$N$126,MATCH('2.  Sales Data Key &amp; Key-Lyn'!$C25,'Raw Sales Forecasting Data'!$C$11:$C$126,0),MATCH('2.  Sales Data Key &amp; Key-Lyn'!K$6,'Raw Sales Forecasting Data'!$J$10:$N$10,0))</f>
        <v>0</v>
      </c>
      <c r="L25" s="198">
        <f>INDEX('Raw Sales Forecasting Data'!$J$11:$N$126,MATCH('2.  Sales Data Key &amp; Key-Lyn'!$C25,'Raw Sales Forecasting Data'!$C$11:$C$126,0),MATCH('2.  Sales Data Key &amp; Key-Lyn'!L$6,'Raw Sales Forecasting Data'!$J$10:$N$10,0))</f>
        <v>0</v>
      </c>
      <c r="M25" s="198">
        <f>INDEX('Raw Sales Forecasting Data'!$J$11:$N$126,MATCH('2.  Sales Data Key &amp; Key-Lyn'!$C25,'Raw Sales Forecasting Data'!$C$11:$C$126,0),MATCH('2.  Sales Data Key &amp; Key-Lyn'!M$6,'Raw Sales Forecasting Data'!$J$10:$N$10,0))</f>
        <v>3</v>
      </c>
      <c r="N25" s="198">
        <f>INDEX('Raw Sales Forecasting Data'!$J$11:$N$126,MATCH('2.  Sales Data Key &amp; Key-Lyn'!$C25,'Raw Sales Forecasting Data'!$C$11:$C$126,0),MATCH('2.  Sales Data Key &amp; Key-Lyn'!N$6,'Raw Sales Forecasting Data'!$J$10:$N$10,0))</f>
        <v>37</v>
      </c>
      <c r="O25" s="238">
        <f>INDEX('Raw Sales Forecasting Data'!$J$11:$N$126,MATCH('2.  Sales Data Key &amp; Key-Lyn'!$C25,'Raw Sales Forecasting Data'!$C$11:$C$126,0),MATCH('2.  Sales Data Key &amp; Key-Lyn'!O$6,'Raw Sales Forecasting Data'!$J$10:$N$10,0))</f>
        <v>59</v>
      </c>
      <c r="P25" s="240">
        <f>IF(AND($E25&gt;='Launch flag &amp; Life-Cycle Factor'!$F$24, $E25&lt;='Launch flag &amp; Life-Cycle Factor'!$E$24),'Launch flag &amp; Life-Cycle Factor'!$H$24, IF(AND($E25&gt;='Launch flag &amp; Life-Cycle Factor'!$F$23, $E25&lt;='Launch flag &amp; Life-Cycle Factor'!$E$23),'Launch flag &amp; Life-Cycle Factor'!$H$23, IF(AND($E25&gt;='Launch flag &amp; Life-Cycle Factor'!$F$22, $E25&lt;='Launch flag &amp; Life-Cycle Factor'!$E$22),'Launch flag &amp; Life-Cycle Factor'!$H$22, IF(AND($E25&gt;='Launch flag &amp; Life-Cycle Factor'!$F$21, $E25&lt;='Launch flag &amp; Life-Cycle Factor'!$E$21),'Launch flag &amp; Life-Cycle Factor'!$H$21, IF(AND($E25&gt;='Launch flag &amp; Life-Cycle Factor'!$F$20, $E25&lt;='Launch flag &amp; Life-Cycle Factor'!$E$20),'Launch flag &amp; Life-Cycle Factor'!$H$20, IF(AND($E25&gt;='Launch flag &amp; Life-Cycle Factor'!$F$19, $E25&lt;='Launch flag &amp; Life-Cycle Factor'!$E$19),'Launch flag &amp; Life-Cycle Factor'!$H$19, IF(AND($E25&gt;='Launch flag &amp; Life-Cycle Factor'!$F$18, $E25&lt;='Launch flag &amp; Life-Cycle Factor'!$E$18),'Launch flag &amp; Life-Cycle Factor'!$H$18, IF(AND($E25&gt;='Launch flag &amp; Life-Cycle Factor'!$F$17, $E25&lt;='Launch flag &amp; Life-Cycle Factor'!$E$17),'Launch flag &amp; Life-Cycle Factor'!$H$17, IF(AND($E25&gt;='Launch flag &amp; Life-Cycle Factor'!$F$16, $E25&lt;='Launch flag &amp; Life-Cycle Factor'!$E$16),'Launch flag &amp; Life-Cycle Factor'!$H$16,IF(AND($E25&gt;='Launch flag &amp; Life-Cycle Factor'!$F$15, $E25&lt;='Launch flag &amp; Life-Cycle Factor'!$E$15),'Launch flag &amp; Life-Cycle Factor'!$H$15, IF(AND($E25&gt;='Launch flag &amp; Life-Cycle Factor'!$F$14, $E25&lt;='Launch flag &amp; Life-Cycle Factor'!$E$14),'Launch flag &amp; Life-Cycle Factor'!$H$14,IF(AND($E25&gt;='Launch flag &amp; Life-Cycle Factor'!$F$13, $E25&lt;='Launch flag &amp; Life-Cycle Factor'!$E$13),'Launch flag &amp; Life-Cycle Factor'!$H$13, IF(AND($E25&gt;='Launch flag &amp; Life-Cycle Factor'!$F$12, $E25&lt;='Launch flag &amp; Life-Cycle Factor'!$E$12),'Launch flag &amp; Life-Cycle Factor'!$H$12, IF(AND($E25&gt;='Launch flag &amp; Life-Cycle Factor'!$F$11, $E25&lt;='Launch flag &amp; Life-Cycle Factor'!$E$11),'Launch flag &amp; Life-Cycle Factor'!$H$11, IF(AND($E25&gt;='Launch flag &amp; Life-Cycle Factor'!$F$10, $E25&lt;='Launch flag &amp; Life-Cycle Factor'!$E$10),'Launch flag &amp; Life-Cycle Factor'!$H$10, IF(AND($E25&gt;='Launch flag &amp; Life-Cycle Factor'!$F$9, $E25&lt;='Launch flag &amp; Life-Cycle Factor'!$E$9),'Launch flag &amp; Life-Cycle Factor'!$H$9, IF(AND($E25&gt;='Launch flag &amp; Life-Cycle Factor'!$F$8, $E25&lt;='Launch flag &amp; Life-Cycle Factor'!$E$8),'Launch flag &amp; Life-Cycle Factor'!$H$8, IF(AND($E25&gt;='Launch flag &amp; Life-Cycle Factor'!$F$7, $E25&lt;='Launch flag &amp; Life-Cycle Factor'!$E$7),'Launch flag &amp; Life-Cycle Factor'!$H$7, IF(AND($E25&gt;='Launch flag &amp; Life-Cycle Factor'!$F$6, $E25&lt;='Launch flag &amp; Life-Cycle Factor'!$E$6),'Launch flag &amp; Life-Cycle Factor'!$H$6, "-")))))))))))))))))))</f>
        <v>0</v>
      </c>
      <c r="Q25" s="655">
        <f>IF(AND($E25&gt;='Launch flag &amp; Life-Cycle Factor'!$F$24, $E25&lt;='Launch flag &amp; Life-Cycle Factor'!$E$24),'Launch flag &amp; Life-Cycle Factor'!$I$24, IF(AND($E25&gt;='Launch flag &amp; Life-Cycle Factor'!$F$23, $E25&lt;='Launch flag &amp; Life-Cycle Factor'!$E$23),'Launch flag &amp; Life-Cycle Factor'!$I$23, IF(AND($E25&gt;='Launch flag &amp; Life-Cycle Factor'!$F$22, $E25&lt;='Launch flag &amp; Life-Cycle Factor'!$E$22),'Launch flag &amp; Life-Cycle Factor'!$I$22, IF(AND($E25&gt;='Launch flag &amp; Life-Cycle Factor'!$F$21, $E25&lt;='Launch flag &amp; Life-Cycle Factor'!$E$21),'Launch flag &amp; Life-Cycle Factor'!$I$21, IF(AND($E25&gt;='Launch flag &amp; Life-Cycle Factor'!$F$20, $E25&lt;='Launch flag &amp; Life-Cycle Factor'!$E$20),'Launch flag &amp; Life-Cycle Factor'!$I$20, IF(AND($E25&gt;='Launch flag &amp; Life-Cycle Factor'!$F$19, $E25&lt;='Launch flag &amp; Life-Cycle Factor'!$E$19),'Launch flag &amp; Life-Cycle Factor'!$I$19, IF(AND($E25&gt;='Launch flag &amp; Life-Cycle Factor'!$F$18, $E25&lt;='Launch flag &amp; Life-Cycle Factor'!$E$18),'Launch flag &amp; Life-Cycle Factor'!$I$18, IF(AND($E25&gt;='Launch flag &amp; Life-Cycle Factor'!$F$17, $E25&lt;='Launch flag &amp; Life-Cycle Factor'!$E$17),'Launch flag &amp; Life-Cycle Factor'!$I$17, IF(AND($E25&gt;='Launch flag &amp; Life-Cycle Factor'!$F$16, $E25&lt;='Launch flag &amp; Life-Cycle Factor'!$E$16),'Launch flag &amp; Life-Cycle Factor'!$I$16,IF(AND($E25&gt;='Launch flag &amp; Life-Cycle Factor'!$F$15, $E25&lt;='Launch flag &amp; Life-Cycle Factor'!$E$15),'Launch flag &amp; Life-Cycle Factor'!$I$15, IF(AND($E25&gt;='Launch flag &amp; Life-Cycle Factor'!$F$14, $E25&lt;='Launch flag &amp; Life-Cycle Factor'!$E$14),'Launch flag &amp; Life-Cycle Factor'!$I$14,IF(AND($E25&gt;='Launch flag &amp; Life-Cycle Factor'!$F$13, $E25&lt;='Launch flag &amp; Life-Cycle Factor'!$E$13),'Launch flag &amp; Life-Cycle Factor'!$I$13, IF(AND($E25&gt;='Launch flag &amp; Life-Cycle Factor'!$F$12, $E25&lt;='Launch flag &amp; Life-Cycle Factor'!$E$12),'Launch flag &amp; Life-Cycle Factor'!$I$12, IF(AND($E25&gt;='Launch flag &amp; Life-Cycle Factor'!$F$11, $E25&lt;='Launch flag &amp; Life-Cycle Factor'!$E$11),'Launch flag &amp; Life-Cycle Factor'!$I$11, IF(AND($E25&gt;='Launch flag &amp; Life-Cycle Factor'!$F$10, $E25&lt;='Launch flag &amp; Life-Cycle Factor'!$E$10),'Launch flag &amp; Life-Cycle Factor'!$I$10, IF(AND($E25&gt;='Launch flag &amp; Life-Cycle Factor'!$F$9, $E25&lt;='Launch flag &amp; Life-Cycle Factor'!$E$9),'Launch flag &amp; Life-Cycle Factor'!$I$9, IF(AND($E25&gt;='Launch flag &amp; Life-Cycle Factor'!$F$8, $E25&lt;='Launch flag &amp; Life-Cycle Factor'!$E$8),'Launch flag &amp; Life-Cycle Factor'!$I$8, IF(AND($E25&gt;='Launch flag &amp; Life-Cycle Factor'!$F$7, $E25&lt;='Launch flag &amp; Life-Cycle Factor'!$E$7),'Launch flag &amp; Life-Cycle Factor'!$I$7, IF(AND($E25&gt;='Launch flag &amp; Life-Cycle Factor'!$F$6, $E25&lt;='Launch flag &amp; Life-Cycle Factor'!$E$6),'Launch flag &amp; Life-Cycle Factor'!$I$6, "-")))))))))))))))))))</f>
        <v>0.7</v>
      </c>
      <c r="R25" s="662">
        <f t="shared" si="0"/>
        <v>0</v>
      </c>
      <c r="S25" s="663">
        <f t="shared" si="1"/>
        <v>2.0999999999999996</v>
      </c>
      <c r="T25" s="242">
        <f t="shared" si="2"/>
        <v>0</v>
      </c>
      <c r="U25" s="243">
        <f t="shared" si="3"/>
        <v>2.0999999999999996</v>
      </c>
      <c r="V25" s="837">
        <f t="shared" si="4"/>
        <v>2.0999999999999996</v>
      </c>
      <c r="W25" s="838">
        <f t="shared" si="5"/>
        <v>2.0999999999999996</v>
      </c>
      <c r="X25" s="672"/>
    </row>
    <row r="26" spans="2:24" x14ac:dyDescent="0.35">
      <c r="B26" s="186" t="s">
        <v>43</v>
      </c>
      <c r="C26" s="192" t="s">
        <v>149</v>
      </c>
      <c r="D26" s="206" t="str">
        <f>IF(AND($E26&gt;='Launch flag &amp; Life-Cycle Factor'!$F$24, $E26&lt;='Launch flag &amp; Life-Cycle Factor'!$E$24),'Launch flag &amp; Life-Cycle Factor'!$B$24, IF(AND($E26&gt;='Launch flag &amp; Life-Cycle Factor'!$F$23, $E26&lt;='Launch flag &amp; Life-Cycle Factor'!$E$23),'Launch flag &amp; Life-Cycle Factor'!$B$23, IF(AND($E26&gt;='Launch flag &amp; Life-Cycle Factor'!$F$22, $E26&lt;='Launch flag &amp; Life-Cycle Factor'!$E$22),'Launch flag &amp; Life-Cycle Factor'!$B$22, IF(AND($E26&gt;='Launch flag &amp; Life-Cycle Factor'!$F$21, $E26&lt;='Launch flag &amp; Life-Cycle Factor'!$E$21),'Launch flag &amp; Life-Cycle Factor'!$B$21, IF(AND($E26&gt;='Launch flag &amp; Life-Cycle Factor'!$F$20, $E26&lt;='Launch flag &amp; Life-Cycle Factor'!$E$20),'Launch flag &amp; Life-Cycle Factor'!$B$20, IF(AND($E26&gt;='Launch flag &amp; Life-Cycle Factor'!$F$19, $E26&lt;='Launch flag &amp; Life-Cycle Factor'!$E$19),'Launch flag &amp; Life-Cycle Factor'!$B$19, IF(AND($E26&gt;='Launch flag &amp; Life-Cycle Factor'!$F$18, $E26&lt;='Launch flag &amp; Life-Cycle Factor'!$E$18),'Launch flag &amp; Life-Cycle Factor'!$B$18, IF(AND($E26&gt;='Launch flag &amp; Life-Cycle Factor'!$F$17, $E26&lt;='Launch flag &amp; Life-Cycle Factor'!$E$17),'Launch flag &amp; Life-Cycle Factor'!$B$17, IF(AND($E26&gt;='Launch flag &amp; Life-Cycle Factor'!$F$16, $E26&lt;='Launch flag &amp; Life-Cycle Factor'!$E$16),'Launch flag &amp; Life-Cycle Factor'!$B$16,IF(AND($E26&gt;='Launch flag &amp; Life-Cycle Factor'!$F$15, $E26&lt;='Launch flag &amp; Life-Cycle Factor'!$E$15),'Launch flag &amp; Life-Cycle Factor'!$B$15, IF(AND($E26&gt;='Launch flag &amp; Life-Cycle Factor'!$F$14, $E26&lt;='Launch flag &amp; Life-Cycle Factor'!$E$14),'Launch flag &amp; Life-Cycle Factor'!$B$14,IF(AND($E26&gt;='Launch flag &amp; Life-Cycle Factor'!$F$13, $E26&lt;='Launch flag &amp; Life-Cycle Factor'!$E$13),'Launch flag &amp; Life-Cycle Factor'!$B$13, IF(AND($E26&gt;='Launch flag &amp; Life-Cycle Factor'!$F$12, $E26&lt;='Launch flag &amp; Life-Cycle Factor'!$E$12),'Launch flag &amp; Life-Cycle Factor'!$B$12, IF(AND($E26&gt;='Launch flag &amp; Life-Cycle Factor'!$F$11, $E26&lt;='Launch flag &amp; Life-Cycle Factor'!$E$11),'Launch flag &amp; Life-Cycle Factor'!$B$11, IF(AND($E26&gt;='Launch flag &amp; Life-Cycle Factor'!$F$10, $E26&lt;='Launch flag &amp; Life-Cycle Factor'!$E$10),'Launch flag &amp; Life-Cycle Factor'!$B$10, IF(AND($E26&gt;='Launch flag &amp; Life-Cycle Factor'!$F$9, $E26&lt;='Launch flag &amp; Life-Cycle Factor'!$E$9),'Launch flag &amp; Life-Cycle Factor'!$B$9, IF(AND($E26&gt;='Launch flag &amp; Life-Cycle Factor'!$F$8, $E26&lt;='Launch flag &amp; Life-Cycle Factor'!$E$8),'Launch flag &amp; Life-Cycle Factor'!$B$8, IF(AND($E26&gt;='Launch flag &amp; Life-Cycle Factor'!$F$7, $E26&lt;='Launch flag &amp; Life-Cycle Factor'!$E$7),'Launch flag &amp; Life-Cycle Factor'!$B$7, IF(AND($E26&gt;='Launch flag &amp; Life-Cycle Factor'!$F$6, $E26&lt;='Launch flag &amp; Life-Cycle Factor'!$E$6),'Launch flag &amp; Life-Cycle Factor'!$B$6, "-")))))))))))))))))))</f>
        <v>Mature</v>
      </c>
      <c r="E26" s="219">
        <f>INDEX('NPS with launch Dates '!$J$6:$J$59,MATCH('2.  Sales Data Key &amp; Key-Lyn'!$C26,'NPS with launch Dates '!$I$6:$I$59,0))</f>
        <v>43101</v>
      </c>
      <c r="F26" s="197">
        <f>INDEX('Raw Sales Forecasting Data'!$D$11:$H$126,MATCH('2.  Sales Data Key &amp; Key-Lyn'!$C26,'Raw Sales Forecasting Data'!$C$11:$C$126,0),MATCH('2.  Sales Data Key &amp; Key-Lyn'!F$6,'Raw Sales Forecasting Data'!$D$10:$H$10,0))</f>
        <v>786.87028897393179</v>
      </c>
      <c r="G26" s="198">
        <f>INDEX('Raw Sales Forecasting Data'!$D$11:$H$126,MATCH('2.  Sales Data Key &amp; Key-Lyn'!$C26,'Raw Sales Forecasting Data'!$C$11:$C$126,0),MATCH('2.  Sales Data Key &amp; Key-Lyn'!G$6,'Raw Sales Forecasting Data'!$D$10:$H$10,0))</f>
        <v>869.42157164100388</v>
      </c>
      <c r="H26" s="198">
        <f>INDEX('Raw Sales Forecasting Data'!$D$11:$H$126,MATCH('2.  Sales Data Key &amp; Key-Lyn'!$C26,'Raw Sales Forecasting Data'!$C$11:$C$126,0),MATCH('2.  Sales Data Key &amp; Key-Lyn'!H$6,'Raw Sales Forecasting Data'!$D$10:$H$10,0))</f>
        <v>923.05852229579466</v>
      </c>
      <c r="I26" s="198">
        <f>INDEX('Raw Sales Forecasting Data'!$D$11:$H$126,MATCH('2.  Sales Data Key &amp; Key-Lyn'!$C26,'Raw Sales Forecasting Data'!$C$11:$C$126,0),MATCH('2.  Sales Data Key &amp; Key-Lyn'!I$6,'Raw Sales Forecasting Data'!$D$10:$H$10,0))</f>
        <v>1038.55883974843</v>
      </c>
      <c r="J26" s="199">
        <f>INDEX('Raw Sales Forecasting Data'!$D$11:$H$126,MATCH('2.  Sales Data Key &amp; Key-Lyn'!$C26,'Raw Sales Forecasting Data'!$C$11:$C$126,0),MATCH('2.  Sales Data Key &amp; Key-Lyn'!J$6,'Raw Sales Forecasting Data'!$D$10:$H$10,0))</f>
        <v>1171.4424163357019</v>
      </c>
      <c r="K26" s="203">
        <f>INDEX('Raw Sales Forecasting Data'!$J$11:$N$126,MATCH('2.  Sales Data Key &amp; Key-Lyn'!$C26,'Raw Sales Forecasting Data'!$C$11:$C$126,0),MATCH('2.  Sales Data Key &amp; Key-Lyn'!K$6,'Raw Sales Forecasting Data'!$J$10:$N$10,0))</f>
        <v>786.87028897393179</v>
      </c>
      <c r="L26" s="198">
        <f>INDEX('Raw Sales Forecasting Data'!$J$11:$N$126,MATCH('2.  Sales Data Key &amp; Key-Lyn'!$C26,'Raw Sales Forecasting Data'!$C$11:$C$126,0),MATCH('2.  Sales Data Key &amp; Key-Lyn'!L$6,'Raw Sales Forecasting Data'!$J$10:$N$10,0))</f>
        <v>869.42157164100388</v>
      </c>
      <c r="M26" s="198">
        <f>INDEX('Raw Sales Forecasting Data'!$J$11:$N$126,MATCH('2.  Sales Data Key &amp; Key-Lyn'!$C26,'Raw Sales Forecasting Data'!$C$11:$C$126,0),MATCH('2.  Sales Data Key &amp; Key-Lyn'!M$6,'Raw Sales Forecasting Data'!$J$10:$N$10,0))</f>
        <v>923.05852229579466</v>
      </c>
      <c r="N26" s="198">
        <f>INDEX('Raw Sales Forecasting Data'!$J$11:$N$126,MATCH('2.  Sales Data Key &amp; Key-Lyn'!$C26,'Raw Sales Forecasting Data'!$C$11:$C$126,0),MATCH('2.  Sales Data Key &amp; Key-Lyn'!N$6,'Raw Sales Forecasting Data'!$J$10:$N$10,0))</f>
        <v>1038.55883974843</v>
      </c>
      <c r="O26" s="238">
        <f>INDEX('Raw Sales Forecasting Data'!$J$11:$N$126,MATCH('2.  Sales Data Key &amp; Key-Lyn'!$C26,'Raw Sales Forecasting Data'!$C$11:$C$126,0),MATCH('2.  Sales Data Key &amp; Key-Lyn'!O$6,'Raw Sales Forecasting Data'!$J$10:$N$10,0))</f>
        <v>1171.4424163357019</v>
      </c>
      <c r="P26" s="240">
        <f>IF(AND($E26&gt;='Launch flag &amp; Life-Cycle Factor'!$F$24, $E26&lt;='Launch flag &amp; Life-Cycle Factor'!$E$24),'Launch flag &amp; Life-Cycle Factor'!$H$24, IF(AND($E26&gt;='Launch flag &amp; Life-Cycle Factor'!$F$23, $E26&lt;='Launch flag &amp; Life-Cycle Factor'!$E$23),'Launch flag &amp; Life-Cycle Factor'!$H$23, IF(AND($E26&gt;='Launch flag &amp; Life-Cycle Factor'!$F$22, $E26&lt;='Launch flag &amp; Life-Cycle Factor'!$E$22),'Launch flag &amp; Life-Cycle Factor'!$H$22, IF(AND($E26&gt;='Launch flag &amp; Life-Cycle Factor'!$F$21, $E26&lt;='Launch flag &amp; Life-Cycle Factor'!$E$21),'Launch flag &amp; Life-Cycle Factor'!$H$21, IF(AND($E26&gt;='Launch flag &amp; Life-Cycle Factor'!$F$20, $E26&lt;='Launch flag &amp; Life-Cycle Factor'!$E$20),'Launch flag &amp; Life-Cycle Factor'!$H$20, IF(AND($E26&gt;='Launch flag &amp; Life-Cycle Factor'!$F$19, $E26&lt;='Launch flag &amp; Life-Cycle Factor'!$E$19),'Launch flag &amp; Life-Cycle Factor'!$H$19, IF(AND($E26&gt;='Launch flag &amp; Life-Cycle Factor'!$F$18, $E26&lt;='Launch flag &amp; Life-Cycle Factor'!$E$18),'Launch flag &amp; Life-Cycle Factor'!$H$18, IF(AND($E26&gt;='Launch flag &amp; Life-Cycle Factor'!$F$17, $E26&lt;='Launch flag &amp; Life-Cycle Factor'!$E$17),'Launch flag &amp; Life-Cycle Factor'!$H$17, IF(AND($E26&gt;='Launch flag &amp; Life-Cycle Factor'!$F$16, $E26&lt;='Launch flag &amp; Life-Cycle Factor'!$E$16),'Launch flag &amp; Life-Cycle Factor'!$H$16,IF(AND($E26&gt;='Launch flag &amp; Life-Cycle Factor'!$F$15, $E26&lt;='Launch flag &amp; Life-Cycle Factor'!$E$15),'Launch flag &amp; Life-Cycle Factor'!$H$15, IF(AND($E26&gt;='Launch flag &amp; Life-Cycle Factor'!$F$14, $E26&lt;='Launch flag &amp; Life-Cycle Factor'!$E$14),'Launch flag &amp; Life-Cycle Factor'!$H$14,IF(AND($E26&gt;='Launch flag &amp; Life-Cycle Factor'!$F$13, $E26&lt;='Launch flag &amp; Life-Cycle Factor'!$E$13),'Launch flag &amp; Life-Cycle Factor'!$H$13, IF(AND($E26&gt;='Launch flag &amp; Life-Cycle Factor'!$F$12, $E26&lt;='Launch flag &amp; Life-Cycle Factor'!$E$12),'Launch flag &amp; Life-Cycle Factor'!$H$12, IF(AND($E26&gt;='Launch flag &amp; Life-Cycle Factor'!$F$11, $E26&lt;='Launch flag &amp; Life-Cycle Factor'!$E$11),'Launch flag &amp; Life-Cycle Factor'!$H$11, IF(AND($E26&gt;='Launch flag &amp; Life-Cycle Factor'!$F$10, $E26&lt;='Launch flag &amp; Life-Cycle Factor'!$E$10),'Launch flag &amp; Life-Cycle Factor'!$H$10, IF(AND($E26&gt;='Launch flag &amp; Life-Cycle Factor'!$F$9, $E26&lt;='Launch flag &amp; Life-Cycle Factor'!$E$9),'Launch flag &amp; Life-Cycle Factor'!$H$9, IF(AND($E26&gt;='Launch flag &amp; Life-Cycle Factor'!$F$8, $E26&lt;='Launch flag &amp; Life-Cycle Factor'!$E$8),'Launch flag &amp; Life-Cycle Factor'!$H$8, IF(AND($E26&gt;='Launch flag &amp; Life-Cycle Factor'!$F$7, $E26&lt;='Launch flag &amp; Life-Cycle Factor'!$E$7),'Launch flag &amp; Life-Cycle Factor'!$H$7, IF(AND($E26&gt;='Launch flag &amp; Life-Cycle Factor'!$F$6, $E26&lt;='Launch flag &amp; Life-Cycle Factor'!$E$6),'Launch flag &amp; Life-Cycle Factor'!$H$6, "-")))))))))))))))))))</f>
        <v>0.65</v>
      </c>
      <c r="Q26" s="655">
        <f>IF(AND($E26&gt;='Launch flag &amp; Life-Cycle Factor'!$F$24, $E26&lt;='Launch flag &amp; Life-Cycle Factor'!$E$24),'Launch flag &amp; Life-Cycle Factor'!$I$24, IF(AND($E26&gt;='Launch flag &amp; Life-Cycle Factor'!$F$23, $E26&lt;='Launch flag &amp; Life-Cycle Factor'!$E$23),'Launch flag &amp; Life-Cycle Factor'!$I$23, IF(AND($E26&gt;='Launch flag &amp; Life-Cycle Factor'!$F$22, $E26&lt;='Launch flag &amp; Life-Cycle Factor'!$E$22),'Launch flag &amp; Life-Cycle Factor'!$I$22, IF(AND($E26&gt;='Launch flag &amp; Life-Cycle Factor'!$F$21, $E26&lt;='Launch flag &amp; Life-Cycle Factor'!$E$21),'Launch flag &amp; Life-Cycle Factor'!$I$21, IF(AND($E26&gt;='Launch flag &amp; Life-Cycle Factor'!$F$20, $E26&lt;='Launch flag &amp; Life-Cycle Factor'!$E$20),'Launch flag &amp; Life-Cycle Factor'!$I$20, IF(AND($E26&gt;='Launch flag &amp; Life-Cycle Factor'!$F$19, $E26&lt;='Launch flag &amp; Life-Cycle Factor'!$E$19),'Launch flag &amp; Life-Cycle Factor'!$I$19, IF(AND($E26&gt;='Launch flag &amp; Life-Cycle Factor'!$F$18, $E26&lt;='Launch flag &amp; Life-Cycle Factor'!$E$18),'Launch flag &amp; Life-Cycle Factor'!$I$18, IF(AND($E26&gt;='Launch flag &amp; Life-Cycle Factor'!$F$17, $E26&lt;='Launch flag &amp; Life-Cycle Factor'!$E$17),'Launch flag &amp; Life-Cycle Factor'!$I$17, IF(AND($E26&gt;='Launch flag &amp; Life-Cycle Factor'!$F$16, $E26&lt;='Launch flag &amp; Life-Cycle Factor'!$E$16),'Launch flag &amp; Life-Cycle Factor'!$I$16,IF(AND($E26&gt;='Launch flag &amp; Life-Cycle Factor'!$F$15, $E26&lt;='Launch flag &amp; Life-Cycle Factor'!$E$15),'Launch flag &amp; Life-Cycle Factor'!$I$15, IF(AND($E26&gt;='Launch flag &amp; Life-Cycle Factor'!$F$14, $E26&lt;='Launch flag &amp; Life-Cycle Factor'!$E$14),'Launch flag &amp; Life-Cycle Factor'!$I$14,IF(AND($E26&gt;='Launch flag &amp; Life-Cycle Factor'!$F$13, $E26&lt;='Launch flag &amp; Life-Cycle Factor'!$E$13),'Launch flag &amp; Life-Cycle Factor'!$I$13, IF(AND($E26&gt;='Launch flag &amp; Life-Cycle Factor'!$F$12, $E26&lt;='Launch flag &amp; Life-Cycle Factor'!$E$12),'Launch flag &amp; Life-Cycle Factor'!$I$12, IF(AND($E26&gt;='Launch flag &amp; Life-Cycle Factor'!$F$11, $E26&lt;='Launch flag &amp; Life-Cycle Factor'!$E$11),'Launch flag &amp; Life-Cycle Factor'!$I$11, IF(AND($E26&gt;='Launch flag &amp; Life-Cycle Factor'!$F$10, $E26&lt;='Launch flag &amp; Life-Cycle Factor'!$E$10),'Launch flag &amp; Life-Cycle Factor'!$I$10, IF(AND($E26&gt;='Launch flag &amp; Life-Cycle Factor'!$F$9, $E26&lt;='Launch flag &amp; Life-Cycle Factor'!$E$9),'Launch flag &amp; Life-Cycle Factor'!$I$9, IF(AND($E26&gt;='Launch flag &amp; Life-Cycle Factor'!$F$8, $E26&lt;='Launch flag &amp; Life-Cycle Factor'!$E$8),'Launch flag &amp; Life-Cycle Factor'!$I$8, IF(AND($E26&gt;='Launch flag &amp; Life-Cycle Factor'!$F$7, $E26&lt;='Launch flag &amp; Life-Cycle Factor'!$E$7),'Launch flag &amp; Life-Cycle Factor'!$I$7, IF(AND($E26&gt;='Launch flag &amp; Life-Cycle Factor'!$F$6, $E26&lt;='Launch flag &amp; Life-Cycle Factor'!$E$6),'Launch flag &amp; Life-Cycle Factor'!$I$6, "-")))))))))))))))))))</f>
        <v>0.35</v>
      </c>
      <c r="R26" s="662">
        <f t="shared" si="0"/>
        <v>565.12402156665257</v>
      </c>
      <c r="S26" s="663">
        <f t="shared" si="1"/>
        <v>323.07048280352814</v>
      </c>
      <c r="T26" s="242">
        <f t="shared" si="2"/>
        <v>565.12402156665257</v>
      </c>
      <c r="U26" s="243">
        <f t="shared" si="3"/>
        <v>323.07048280352814</v>
      </c>
      <c r="V26" s="837">
        <f t="shared" si="4"/>
        <v>888.19450437018077</v>
      </c>
      <c r="W26" s="838">
        <f t="shared" si="5"/>
        <v>888.19450437018077</v>
      </c>
      <c r="X26" s="672"/>
    </row>
    <row r="27" spans="2:24" x14ac:dyDescent="0.35">
      <c r="B27" s="569" t="s">
        <v>43</v>
      </c>
      <c r="C27" s="847" t="s">
        <v>153</v>
      </c>
      <c r="D27" s="848" t="str">
        <f>IF(AND($E27&gt;='Launch flag &amp; Life-Cycle Factor'!$F$24, $E27&lt;='Launch flag &amp; Life-Cycle Factor'!$E$24),'Launch flag &amp; Life-Cycle Factor'!$B$24, IF(AND($E27&gt;='Launch flag &amp; Life-Cycle Factor'!$F$23, $E27&lt;='Launch flag &amp; Life-Cycle Factor'!$E$23),'Launch flag &amp; Life-Cycle Factor'!$B$23, IF(AND($E27&gt;='Launch flag &amp; Life-Cycle Factor'!$F$22, $E27&lt;='Launch flag &amp; Life-Cycle Factor'!$E$22),'Launch flag &amp; Life-Cycle Factor'!$B$22, IF(AND($E27&gt;='Launch flag &amp; Life-Cycle Factor'!$F$21, $E27&lt;='Launch flag &amp; Life-Cycle Factor'!$E$21),'Launch flag &amp; Life-Cycle Factor'!$B$21, IF(AND($E27&gt;='Launch flag &amp; Life-Cycle Factor'!$F$20, $E27&lt;='Launch flag &amp; Life-Cycle Factor'!$E$20),'Launch flag &amp; Life-Cycle Factor'!$B$20, IF(AND($E27&gt;='Launch flag &amp; Life-Cycle Factor'!$F$19, $E27&lt;='Launch flag &amp; Life-Cycle Factor'!$E$19),'Launch flag &amp; Life-Cycle Factor'!$B$19, IF(AND($E27&gt;='Launch flag &amp; Life-Cycle Factor'!$F$18, $E27&lt;='Launch flag &amp; Life-Cycle Factor'!$E$18),'Launch flag &amp; Life-Cycle Factor'!$B$18, IF(AND($E27&gt;='Launch flag &amp; Life-Cycle Factor'!$F$17, $E27&lt;='Launch flag &amp; Life-Cycle Factor'!$E$17),'Launch flag &amp; Life-Cycle Factor'!$B$17, IF(AND($E27&gt;='Launch flag &amp; Life-Cycle Factor'!$F$16, $E27&lt;='Launch flag &amp; Life-Cycle Factor'!$E$16),'Launch flag &amp; Life-Cycle Factor'!$B$16,IF(AND($E27&gt;='Launch flag &amp; Life-Cycle Factor'!$F$15, $E27&lt;='Launch flag &amp; Life-Cycle Factor'!$E$15),'Launch flag &amp; Life-Cycle Factor'!$B$15, IF(AND($E27&gt;='Launch flag &amp; Life-Cycle Factor'!$F$14, $E27&lt;='Launch flag &amp; Life-Cycle Factor'!$E$14),'Launch flag &amp; Life-Cycle Factor'!$B$14,IF(AND($E27&gt;='Launch flag &amp; Life-Cycle Factor'!$F$13, $E27&lt;='Launch flag &amp; Life-Cycle Factor'!$E$13),'Launch flag &amp; Life-Cycle Factor'!$B$13, IF(AND($E27&gt;='Launch flag &amp; Life-Cycle Factor'!$F$12, $E27&lt;='Launch flag &amp; Life-Cycle Factor'!$E$12),'Launch flag &amp; Life-Cycle Factor'!$B$12, IF(AND($E27&gt;='Launch flag &amp; Life-Cycle Factor'!$F$11, $E27&lt;='Launch flag &amp; Life-Cycle Factor'!$E$11),'Launch flag &amp; Life-Cycle Factor'!$B$11, IF(AND($E27&gt;='Launch flag &amp; Life-Cycle Factor'!$F$10, $E27&lt;='Launch flag &amp; Life-Cycle Factor'!$E$10),'Launch flag &amp; Life-Cycle Factor'!$B$10, IF(AND($E27&gt;='Launch flag &amp; Life-Cycle Factor'!$F$9, $E27&lt;='Launch flag &amp; Life-Cycle Factor'!$E$9),'Launch flag &amp; Life-Cycle Factor'!$B$9, IF(AND($E27&gt;='Launch flag &amp; Life-Cycle Factor'!$F$8, $E27&lt;='Launch flag &amp; Life-Cycle Factor'!$E$8),'Launch flag &amp; Life-Cycle Factor'!$B$8, IF(AND($E27&gt;='Launch flag &amp; Life-Cycle Factor'!$F$7, $E27&lt;='Launch flag &amp; Life-Cycle Factor'!$E$7),'Launch flag &amp; Life-Cycle Factor'!$B$7, IF(AND($E27&gt;='Launch flag &amp; Life-Cycle Factor'!$F$6, $E27&lt;='Launch flag &amp; Life-Cycle Factor'!$E$6),'Launch flag &amp; Life-Cycle Factor'!$B$6, "-")))))))))))))))))))</f>
        <v>Mature</v>
      </c>
      <c r="E27" s="849">
        <f>INDEX('NPS with launch Dates '!$J$6:$J$59,MATCH('2.  Sales Data Key &amp; Key-Lyn'!$C27,'NPS with launch Dates '!$I$6:$I$59,0))</f>
        <v>43101</v>
      </c>
      <c r="F27" s="850">
        <f>INDEX('Raw Sales Forecasting Data'!$D$11:$H$126,MATCH('2.  Sales Data Key &amp; Key-Lyn'!$C27,'Raw Sales Forecasting Data'!$C$11:$C$126,0),MATCH('2.  Sales Data Key &amp; Key-Lyn'!F$6,'Raw Sales Forecasting Data'!$D$10:$H$10,0))</f>
        <v>0</v>
      </c>
      <c r="G27" s="851">
        <f>INDEX('Raw Sales Forecasting Data'!$D$11:$H$126,MATCH('2.  Sales Data Key &amp; Key-Lyn'!$C27,'Raw Sales Forecasting Data'!$C$11:$C$126,0),MATCH('2.  Sales Data Key &amp; Key-Lyn'!G$6,'Raw Sales Forecasting Data'!$D$10:$H$10,0))</f>
        <v>0</v>
      </c>
      <c r="H27" s="851">
        <f>INDEX('Raw Sales Forecasting Data'!$D$11:$H$126,MATCH('2.  Sales Data Key &amp; Key-Lyn'!$C27,'Raw Sales Forecasting Data'!$C$11:$C$126,0),MATCH('2.  Sales Data Key &amp; Key-Lyn'!H$6,'Raw Sales Forecasting Data'!$D$10:$H$10,0))</f>
        <v>0</v>
      </c>
      <c r="I27" s="851">
        <f>INDEX('Raw Sales Forecasting Data'!$D$11:$H$126,MATCH('2.  Sales Data Key &amp; Key-Lyn'!$C27,'Raw Sales Forecasting Data'!$C$11:$C$126,0),MATCH('2.  Sales Data Key &amp; Key-Lyn'!I$6,'Raw Sales Forecasting Data'!$D$10:$H$10,0))</f>
        <v>0</v>
      </c>
      <c r="J27" s="852">
        <f>INDEX('Raw Sales Forecasting Data'!$D$11:$H$126,MATCH('2.  Sales Data Key &amp; Key-Lyn'!$C27,'Raw Sales Forecasting Data'!$C$11:$C$126,0),MATCH('2.  Sales Data Key &amp; Key-Lyn'!J$6,'Raw Sales Forecasting Data'!$D$10:$H$10,0))</f>
        <v>0</v>
      </c>
      <c r="K27" s="853">
        <f>INDEX('Raw Sales Forecasting Data'!$J$11:$N$126,MATCH('2.  Sales Data Key &amp; Key-Lyn'!$C27,'Raw Sales Forecasting Data'!$C$11:$C$126,0),MATCH('2.  Sales Data Key &amp; Key-Lyn'!K$6,'Raw Sales Forecasting Data'!$J$10:$N$10,0))</f>
        <v>0</v>
      </c>
      <c r="L27" s="851">
        <f>INDEX('Raw Sales Forecasting Data'!$J$11:$N$126,MATCH('2.  Sales Data Key &amp; Key-Lyn'!$C27,'Raw Sales Forecasting Data'!$C$11:$C$126,0),MATCH('2.  Sales Data Key &amp; Key-Lyn'!L$6,'Raw Sales Forecasting Data'!$J$10:$N$10,0))</f>
        <v>0</v>
      </c>
      <c r="M27" s="851">
        <f>INDEX('Raw Sales Forecasting Data'!$J$11:$N$126,MATCH('2.  Sales Data Key &amp; Key-Lyn'!$C27,'Raw Sales Forecasting Data'!$C$11:$C$126,0),MATCH('2.  Sales Data Key &amp; Key-Lyn'!M$6,'Raw Sales Forecasting Data'!$J$10:$N$10,0))</f>
        <v>0</v>
      </c>
      <c r="N27" s="851">
        <f>INDEX('Raw Sales Forecasting Data'!$J$11:$N$126,MATCH('2.  Sales Data Key &amp; Key-Lyn'!$C27,'Raw Sales Forecasting Data'!$C$11:$C$126,0),MATCH('2.  Sales Data Key &amp; Key-Lyn'!N$6,'Raw Sales Forecasting Data'!$J$10:$N$10,0))</f>
        <v>0</v>
      </c>
      <c r="O27" s="854">
        <f>INDEX('Raw Sales Forecasting Data'!$J$11:$N$126,MATCH('2.  Sales Data Key &amp; Key-Lyn'!$C27,'Raw Sales Forecasting Data'!$C$11:$C$126,0),MATCH('2.  Sales Data Key &amp; Key-Lyn'!O$6,'Raw Sales Forecasting Data'!$J$10:$N$10,0))</f>
        <v>0</v>
      </c>
      <c r="P27" s="855">
        <f>IF(AND($E27&gt;='Launch flag &amp; Life-Cycle Factor'!$F$24, $E27&lt;='Launch flag &amp; Life-Cycle Factor'!$E$24),'Launch flag &amp; Life-Cycle Factor'!$H$24, IF(AND($E27&gt;='Launch flag &amp; Life-Cycle Factor'!$F$23, $E27&lt;='Launch flag &amp; Life-Cycle Factor'!$E$23),'Launch flag &amp; Life-Cycle Factor'!$H$23, IF(AND($E27&gt;='Launch flag &amp; Life-Cycle Factor'!$F$22, $E27&lt;='Launch flag &amp; Life-Cycle Factor'!$E$22),'Launch flag &amp; Life-Cycle Factor'!$H$22, IF(AND($E27&gt;='Launch flag &amp; Life-Cycle Factor'!$F$21, $E27&lt;='Launch flag &amp; Life-Cycle Factor'!$E$21),'Launch flag &amp; Life-Cycle Factor'!$H$21, IF(AND($E27&gt;='Launch flag &amp; Life-Cycle Factor'!$F$20, $E27&lt;='Launch flag &amp; Life-Cycle Factor'!$E$20),'Launch flag &amp; Life-Cycle Factor'!$H$20, IF(AND($E27&gt;='Launch flag &amp; Life-Cycle Factor'!$F$19, $E27&lt;='Launch flag &amp; Life-Cycle Factor'!$E$19),'Launch flag &amp; Life-Cycle Factor'!$H$19, IF(AND($E27&gt;='Launch flag &amp; Life-Cycle Factor'!$F$18, $E27&lt;='Launch flag &amp; Life-Cycle Factor'!$E$18),'Launch flag &amp; Life-Cycle Factor'!$H$18, IF(AND($E27&gt;='Launch flag &amp; Life-Cycle Factor'!$F$17, $E27&lt;='Launch flag &amp; Life-Cycle Factor'!$E$17),'Launch flag &amp; Life-Cycle Factor'!$H$17, IF(AND($E27&gt;='Launch flag &amp; Life-Cycle Factor'!$F$16, $E27&lt;='Launch flag &amp; Life-Cycle Factor'!$E$16),'Launch flag &amp; Life-Cycle Factor'!$H$16,IF(AND($E27&gt;='Launch flag &amp; Life-Cycle Factor'!$F$15, $E27&lt;='Launch flag &amp; Life-Cycle Factor'!$E$15),'Launch flag &amp; Life-Cycle Factor'!$H$15, IF(AND($E27&gt;='Launch flag &amp; Life-Cycle Factor'!$F$14, $E27&lt;='Launch flag &amp; Life-Cycle Factor'!$E$14),'Launch flag &amp; Life-Cycle Factor'!$H$14,IF(AND($E27&gt;='Launch flag &amp; Life-Cycle Factor'!$F$13, $E27&lt;='Launch flag &amp; Life-Cycle Factor'!$E$13),'Launch flag &amp; Life-Cycle Factor'!$H$13, IF(AND($E27&gt;='Launch flag &amp; Life-Cycle Factor'!$F$12, $E27&lt;='Launch flag &amp; Life-Cycle Factor'!$E$12),'Launch flag &amp; Life-Cycle Factor'!$H$12, IF(AND($E27&gt;='Launch flag &amp; Life-Cycle Factor'!$F$11, $E27&lt;='Launch flag &amp; Life-Cycle Factor'!$E$11),'Launch flag &amp; Life-Cycle Factor'!$H$11, IF(AND($E27&gt;='Launch flag &amp; Life-Cycle Factor'!$F$10, $E27&lt;='Launch flag &amp; Life-Cycle Factor'!$E$10),'Launch flag &amp; Life-Cycle Factor'!$H$10, IF(AND($E27&gt;='Launch flag &amp; Life-Cycle Factor'!$F$9, $E27&lt;='Launch flag &amp; Life-Cycle Factor'!$E$9),'Launch flag &amp; Life-Cycle Factor'!$H$9, IF(AND($E27&gt;='Launch flag &amp; Life-Cycle Factor'!$F$8, $E27&lt;='Launch flag &amp; Life-Cycle Factor'!$E$8),'Launch flag &amp; Life-Cycle Factor'!$H$8, IF(AND($E27&gt;='Launch flag &amp; Life-Cycle Factor'!$F$7, $E27&lt;='Launch flag &amp; Life-Cycle Factor'!$E$7),'Launch flag &amp; Life-Cycle Factor'!$H$7, IF(AND($E27&gt;='Launch flag &amp; Life-Cycle Factor'!$F$6, $E27&lt;='Launch flag &amp; Life-Cycle Factor'!$E$6),'Launch flag &amp; Life-Cycle Factor'!$H$6, "-")))))))))))))))))))</f>
        <v>0.65</v>
      </c>
      <c r="Q27" s="856">
        <f>IF(AND($E27&gt;='Launch flag &amp; Life-Cycle Factor'!$F$24, $E27&lt;='Launch flag &amp; Life-Cycle Factor'!$E$24),'Launch flag &amp; Life-Cycle Factor'!$I$24, IF(AND($E27&gt;='Launch flag &amp; Life-Cycle Factor'!$F$23, $E27&lt;='Launch flag &amp; Life-Cycle Factor'!$E$23),'Launch flag &amp; Life-Cycle Factor'!$I$23, IF(AND($E27&gt;='Launch flag &amp; Life-Cycle Factor'!$F$22, $E27&lt;='Launch flag &amp; Life-Cycle Factor'!$E$22),'Launch flag &amp; Life-Cycle Factor'!$I$22, IF(AND($E27&gt;='Launch flag &amp; Life-Cycle Factor'!$F$21, $E27&lt;='Launch flag &amp; Life-Cycle Factor'!$E$21),'Launch flag &amp; Life-Cycle Factor'!$I$21, IF(AND($E27&gt;='Launch flag &amp; Life-Cycle Factor'!$F$20, $E27&lt;='Launch flag &amp; Life-Cycle Factor'!$E$20),'Launch flag &amp; Life-Cycle Factor'!$I$20, IF(AND($E27&gt;='Launch flag &amp; Life-Cycle Factor'!$F$19, $E27&lt;='Launch flag &amp; Life-Cycle Factor'!$E$19),'Launch flag &amp; Life-Cycle Factor'!$I$19, IF(AND($E27&gt;='Launch flag &amp; Life-Cycle Factor'!$F$18, $E27&lt;='Launch flag &amp; Life-Cycle Factor'!$E$18),'Launch flag &amp; Life-Cycle Factor'!$I$18, IF(AND($E27&gt;='Launch flag &amp; Life-Cycle Factor'!$F$17, $E27&lt;='Launch flag &amp; Life-Cycle Factor'!$E$17),'Launch flag &amp; Life-Cycle Factor'!$I$17, IF(AND($E27&gt;='Launch flag &amp; Life-Cycle Factor'!$F$16, $E27&lt;='Launch flag &amp; Life-Cycle Factor'!$E$16),'Launch flag &amp; Life-Cycle Factor'!$I$16,IF(AND($E27&gt;='Launch flag &amp; Life-Cycle Factor'!$F$15, $E27&lt;='Launch flag &amp; Life-Cycle Factor'!$E$15),'Launch flag &amp; Life-Cycle Factor'!$I$15, IF(AND($E27&gt;='Launch flag &amp; Life-Cycle Factor'!$F$14, $E27&lt;='Launch flag &amp; Life-Cycle Factor'!$E$14),'Launch flag &amp; Life-Cycle Factor'!$I$14,IF(AND($E27&gt;='Launch flag &amp; Life-Cycle Factor'!$F$13, $E27&lt;='Launch flag &amp; Life-Cycle Factor'!$E$13),'Launch flag &amp; Life-Cycle Factor'!$I$13, IF(AND($E27&gt;='Launch flag &amp; Life-Cycle Factor'!$F$12, $E27&lt;='Launch flag &amp; Life-Cycle Factor'!$E$12),'Launch flag &amp; Life-Cycle Factor'!$I$12, IF(AND($E27&gt;='Launch flag &amp; Life-Cycle Factor'!$F$11, $E27&lt;='Launch flag &amp; Life-Cycle Factor'!$E$11),'Launch flag &amp; Life-Cycle Factor'!$I$11, IF(AND($E27&gt;='Launch flag &amp; Life-Cycle Factor'!$F$10, $E27&lt;='Launch flag &amp; Life-Cycle Factor'!$E$10),'Launch flag &amp; Life-Cycle Factor'!$I$10, IF(AND($E27&gt;='Launch flag &amp; Life-Cycle Factor'!$F$9, $E27&lt;='Launch flag &amp; Life-Cycle Factor'!$E$9),'Launch flag &amp; Life-Cycle Factor'!$I$9, IF(AND($E27&gt;='Launch flag &amp; Life-Cycle Factor'!$F$8, $E27&lt;='Launch flag &amp; Life-Cycle Factor'!$E$8),'Launch flag &amp; Life-Cycle Factor'!$I$8, IF(AND($E27&gt;='Launch flag &amp; Life-Cycle Factor'!$F$7, $E27&lt;='Launch flag &amp; Life-Cycle Factor'!$E$7),'Launch flag &amp; Life-Cycle Factor'!$I$7, IF(AND($E27&gt;='Launch flag &amp; Life-Cycle Factor'!$F$6, $E27&lt;='Launch flag &amp; Life-Cycle Factor'!$E$6),'Launch flag &amp; Life-Cycle Factor'!$I$6, "-")))))))))))))))))))</f>
        <v>0.35</v>
      </c>
      <c r="R27" s="857">
        <f t="shared" si="0"/>
        <v>0</v>
      </c>
      <c r="S27" s="858">
        <f t="shared" si="1"/>
        <v>0</v>
      </c>
      <c r="T27" s="859">
        <f t="shared" si="2"/>
        <v>0</v>
      </c>
      <c r="U27" s="860">
        <f t="shared" si="3"/>
        <v>0</v>
      </c>
      <c r="V27" s="861">
        <f t="shared" si="4"/>
        <v>0</v>
      </c>
      <c r="W27" s="862">
        <f t="shared" si="5"/>
        <v>0</v>
      </c>
      <c r="X27" s="846" t="s">
        <v>1178</v>
      </c>
    </row>
    <row r="28" spans="2:24" x14ac:dyDescent="0.35">
      <c r="B28" s="186" t="s">
        <v>43</v>
      </c>
      <c r="C28" s="192" t="s">
        <v>156</v>
      </c>
      <c r="D28" s="206" t="str">
        <f>IF(AND($E28&gt;='Launch flag &amp; Life-Cycle Factor'!$F$24, $E28&lt;='Launch flag &amp; Life-Cycle Factor'!$E$24),'Launch flag &amp; Life-Cycle Factor'!$B$24, IF(AND($E28&gt;='Launch flag &amp; Life-Cycle Factor'!$F$23, $E28&lt;='Launch flag &amp; Life-Cycle Factor'!$E$23),'Launch flag &amp; Life-Cycle Factor'!$B$23, IF(AND($E28&gt;='Launch flag &amp; Life-Cycle Factor'!$F$22, $E28&lt;='Launch flag &amp; Life-Cycle Factor'!$E$22),'Launch flag &amp; Life-Cycle Factor'!$B$22, IF(AND($E28&gt;='Launch flag &amp; Life-Cycle Factor'!$F$21, $E28&lt;='Launch flag &amp; Life-Cycle Factor'!$E$21),'Launch flag &amp; Life-Cycle Factor'!$B$21, IF(AND($E28&gt;='Launch flag &amp; Life-Cycle Factor'!$F$20, $E28&lt;='Launch flag &amp; Life-Cycle Factor'!$E$20),'Launch flag &amp; Life-Cycle Factor'!$B$20, IF(AND($E28&gt;='Launch flag &amp; Life-Cycle Factor'!$F$19, $E28&lt;='Launch flag &amp; Life-Cycle Factor'!$E$19),'Launch flag &amp; Life-Cycle Factor'!$B$19, IF(AND($E28&gt;='Launch flag &amp; Life-Cycle Factor'!$F$18, $E28&lt;='Launch flag &amp; Life-Cycle Factor'!$E$18),'Launch flag &amp; Life-Cycle Factor'!$B$18, IF(AND($E28&gt;='Launch flag &amp; Life-Cycle Factor'!$F$17, $E28&lt;='Launch flag &amp; Life-Cycle Factor'!$E$17),'Launch flag &amp; Life-Cycle Factor'!$B$17, IF(AND($E28&gt;='Launch flag &amp; Life-Cycle Factor'!$F$16, $E28&lt;='Launch flag &amp; Life-Cycle Factor'!$E$16),'Launch flag &amp; Life-Cycle Factor'!$B$16,IF(AND($E28&gt;='Launch flag &amp; Life-Cycle Factor'!$F$15, $E28&lt;='Launch flag &amp; Life-Cycle Factor'!$E$15),'Launch flag &amp; Life-Cycle Factor'!$B$15, IF(AND($E28&gt;='Launch flag &amp; Life-Cycle Factor'!$F$14, $E28&lt;='Launch flag &amp; Life-Cycle Factor'!$E$14),'Launch flag &amp; Life-Cycle Factor'!$B$14,IF(AND($E28&gt;='Launch flag &amp; Life-Cycle Factor'!$F$13, $E28&lt;='Launch flag &amp; Life-Cycle Factor'!$E$13),'Launch flag &amp; Life-Cycle Factor'!$B$13, IF(AND($E28&gt;='Launch flag &amp; Life-Cycle Factor'!$F$12, $E28&lt;='Launch flag &amp; Life-Cycle Factor'!$E$12),'Launch flag &amp; Life-Cycle Factor'!$B$12, IF(AND($E28&gt;='Launch flag &amp; Life-Cycle Factor'!$F$11, $E28&lt;='Launch flag &amp; Life-Cycle Factor'!$E$11),'Launch flag &amp; Life-Cycle Factor'!$B$11, IF(AND($E28&gt;='Launch flag &amp; Life-Cycle Factor'!$F$10, $E28&lt;='Launch flag &amp; Life-Cycle Factor'!$E$10),'Launch flag &amp; Life-Cycle Factor'!$B$10, IF(AND($E28&gt;='Launch flag &amp; Life-Cycle Factor'!$F$9, $E28&lt;='Launch flag &amp; Life-Cycle Factor'!$E$9),'Launch flag &amp; Life-Cycle Factor'!$B$9, IF(AND($E28&gt;='Launch flag &amp; Life-Cycle Factor'!$F$8, $E28&lt;='Launch flag &amp; Life-Cycle Factor'!$E$8),'Launch flag &amp; Life-Cycle Factor'!$B$8, IF(AND($E28&gt;='Launch flag &amp; Life-Cycle Factor'!$F$7, $E28&lt;='Launch flag &amp; Life-Cycle Factor'!$E$7),'Launch flag &amp; Life-Cycle Factor'!$B$7, IF(AND($E28&gt;='Launch flag &amp; Life-Cycle Factor'!$F$6, $E28&lt;='Launch flag &amp; Life-Cycle Factor'!$E$6),'Launch flag &amp; Life-Cycle Factor'!$B$6, "-")))))))))))))))))))</f>
        <v>Future Launch</v>
      </c>
      <c r="E28" s="219">
        <f>INDEX('NPS with launch Dates '!$J$6:$J$59,MATCH('2.  Sales Data Key &amp; Key-Lyn'!$C28,'NPS with launch Dates '!$I$6:$I$59,0))</f>
        <v>45871</v>
      </c>
      <c r="F28" s="197">
        <f>INDEX('Raw Sales Forecasting Data'!$D$11:$H$126,MATCH('2.  Sales Data Key &amp; Key-Lyn'!$C28,'Raw Sales Forecasting Data'!$C$11:$C$126,0),MATCH('2.  Sales Data Key &amp; Key-Lyn'!F$6,'Raw Sales Forecasting Data'!$D$10:$H$10,0))</f>
        <v>0</v>
      </c>
      <c r="G28" s="198">
        <f>INDEX('Raw Sales Forecasting Data'!$D$11:$H$126,MATCH('2.  Sales Data Key &amp; Key-Lyn'!$C28,'Raw Sales Forecasting Data'!$C$11:$C$126,0),MATCH('2.  Sales Data Key &amp; Key-Lyn'!G$6,'Raw Sales Forecasting Data'!$D$10:$H$10,0))</f>
        <v>0</v>
      </c>
      <c r="H28" s="198">
        <f>INDEX('Raw Sales Forecasting Data'!$D$11:$H$126,MATCH('2.  Sales Data Key &amp; Key-Lyn'!$C28,'Raw Sales Forecasting Data'!$C$11:$C$126,0),MATCH('2.  Sales Data Key &amp; Key-Lyn'!H$6,'Raw Sales Forecasting Data'!$D$10:$H$10,0))</f>
        <v>18.803910788811418</v>
      </c>
      <c r="I28" s="198">
        <f>INDEX('Raw Sales Forecasting Data'!$D$11:$H$126,MATCH('2.  Sales Data Key &amp; Key-Lyn'!$C28,'Raw Sales Forecasting Data'!$C$11:$C$126,0),MATCH('2.  Sales Data Key &amp; Key-Lyn'!I$6,'Raw Sales Forecasting Data'!$D$10:$H$10,0))</f>
        <v>327.65060880767379</v>
      </c>
      <c r="J28" s="199">
        <f>INDEX('Raw Sales Forecasting Data'!$D$11:$H$126,MATCH('2.  Sales Data Key &amp; Key-Lyn'!$C28,'Raw Sales Forecasting Data'!$C$11:$C$126,0),MATCH('2.  Sales Data Key &amp; Key-Lyn'!J$6,'Raw Sales Forecasting Data'!$D$10:$H$10,0))</f>
        <v>608.45067609473142</v>
      </c>
      <c r="K28" s="203">
        <f>INDEX('Raw Sales Forecasting Data'!$J$11:$N$126,MATCH('2.  Sales Data Key &amp; Key-Lyn'!$C28,'Raw Sales Forecasting Data'!$C$11:$C$126,0),MATCH('2.  Sales Data Key &amp; Key-Lyn'!K$6,'Raw Sales Forecasting Data'!$J$10:$N$10,0))</f>
        <v>0</v>
      </c>
      <c r="L28" s="198">
        <f>INDEX('Raw Sales Forecasting Data'!$J$11:$N$126,MATCH('2.  Sales Data Key &amp; Key-Lyn'!$C28,'Raw Sales Forecasting Data'!$C$11:$C$126,0),MATCH('2.  Sales Data Key &amp; Key-Lyn'!L$6,'Raw Sales Forecasting Data'!$J$10:$N$10,0))</f>
        <v>0</v>
      </c>
      <c r="M28" s="198">
        <f>INDEX('Raw Sales Forecasting Data'!$J$11:$N$126,MATCH('2.  Sales Data Key &amp; Key-Lyn'!$C28,'Raw Sales Forecasting Data'!$C$11:$C$126,0),MATCH('2.  Sales Data Key &amp; Key-Lyn'!M$6,'Raw Sales Forecasting Data'!$J$10:$N$10,0))</f>
        <v>18.803910788811418</v>
      </c>
      <c r="N28" s="198">
        <f>INDEX('Raw Sales Forecasting Data'!$J$11:$N$126,MATCH('2.  Sales Data Key &amp; Key-Lyn'!$C28,'Raw Sales Forecasting Data'!$C$11:$C$126,0),MATCH('2.  Sales Data Key &amp; Key-Lyn'!N$6,'Raw Sales Forecasting Data'!$J$10:$N$10,0))</f>
        <v>327.65060880767379</v>
      </c>
      <c r="O28" s="238">
        <f>INDEX('Raw Sales Forecasting Data'!$J$11:$N$126,MATCH('2.  Sales Data Key &amp; Key-Lyn'!$C28,'Raw Sales Forecasting Data'!$C$11:$C$126,0),MATCH('2.  Sales Data Key &amp; Key-Lyn'!O$6,'Raw Sales Forecasting Data'!$J$10:$N$10,0))</f>
        <v>608.45067609473142</v>
      </c>
      <c r="P28" s="240">
        <f>IF(AND($E28&gt;='Launch flag &amp; Life-Cycle Factor'!$F$24, $E28&lt;='Launch flag &amp; Life-Cycle Factor'!$E$24),'Launch flag &amp; Life-Cycle Factor'!$H$24, IF(AND($E28&gt;='Launch flag &amp; Life-Cycle Factor'!$F$23, $E28&lt;='Launch flag &amp; Life-Cycle Factor'!$E$23),'Launch flag &amp; Life-Cycle Factor'!$H$23, IF(AND($E28&gt;='Launch flag &amp; Life-Cycle Factor'!$F$22, $E28&lt;='Launch flag &amp; Life-Cycle Factor'!$E$22),'Launch flag &amp; Life-Cycle Factor'!$H$22, IF(AND($E28&gt;='Launch flag &amp; Life-Cycle Factor'!$F$21, $E28&lt;='Launch flag &amp; Life-Cycle Factor'!$E$21),'Launch flag &amp; Life-Cycle Factor'!$H$21, IF(AND($E28&gt;='Launch flag &amp; Life-Cycle Factor'!$F$20, $E28&lt;='Launch flag &amp; Life-Cycle Factor'!$E$20),'Launch flag &amp; Life-Cycle Factor'!$H$20, IF(AND($E28&gt;='Launch flag &amp; Life-Cycle Factor'!$F$19, $E28&lt;='Launch flag &amp; Life-Cycle Factor'!$E$19),'Launch flag &amp; Life-Cycle Factor'!$H$19, IF(AND($E28&gt;='Launch flag &amp; Life-Cycle Factor'!$F$18, $E28&lt;='Launch flag &amp; Life-Cycle Factor'!$E$18),'Launch flag &amp; Life-Cycle Factor'!$H$18, IF(AND($E28&gt;='Launch flag &amp; Life-Cycle Factor'!$F$17, $E28&lt;='Launch flag &amp; Life-Cycle Factor'!$E$17),'Launch flag &amp; Life-Cycle Factor'!$H$17, IF(AND($E28&gt;='Launch flag &amp; Life-Cycle Factor'!$F$16, $E28&lt;='Launch flag &amp; Life-Cycle Factor'!$E$16),'Launch flag &amp; Life-Cycle Factor'!$H$16,IF(AND($E28&gt;='Launch flag &amp; Life-Cycle Factor'!$F$15, $E28&lt;='Launch flag &amp; Life-Cycle Factor'!$E$15),'Launch flag &amp; Life-Cycle Factor'!$H$15, IF(AND($E28&gt;='Launch flag &amp; Life-Cycle Factor'!$F$14, $E28&lt;='Launch flag &amp; Life-Cycle Factor'!$E$14),'Launch flag &amp; Life-Cycle Factor'!$H$14,IF(AND($E28&gt;='Launch flag &amp; Life-Cycle Factor'!$F$13, $E28&lt;='Launch flag &amp; Life-Cycle Factor'!$E$13),'Launch flag &amp; Life-Cycle Factor'!$H$13, IF(AND($E28&gt;='Launch flag &amp; Life-Cycle Factor'!$F$12, $E28&lt;='Launch flag &amp; Life-Cycle Factor'!$E$12),'Launch flag &amp; Life-Cycle Factor'!$H$12, IF(AND($E28&gt;='Launch flag &amp; Life-Cycle Factor'!$F$11, $E28&lt;='Launch flag &amp; Life-Cycle Factor'!$E$11),'Launch flag &amp; Life-Cycle Factor'!$H$11, IF(AND($E28&gt;='Launch flag &amp; Life-Cycle Factor'!$F$10, $E28&lt;='Launch flag &amp; Life-Cycle Factor'!$E$10),'Launch flag &amp; Life-Cycle Factor'!$H$10, IF(AND($E28&gt;='Launch flag &amp; Life-Cycle Factor'!$F$9, $E28&lt;='Launch flag &amp; Life-Cycle Factor'!$E$9),'Launch flag &amp; Life-Cycle Factor'!$H$9, IF(AND($E28&gt;='Launch flag &amp; Life-Cycle Factor'!$F$8, $E28&lt;='Launch flag &amp; Life-Cycle Factor'!$E$8),'Launch flag &amp; Life-Cycle Factor'!$H$8, IF(AND($E28&gt;='Launch flag &amp; Life-Cycle Factor'!$F$7, $E28&lt;='Launch flag &amp; Life-Cycle Factor'!$E$7),'Launch flag &amp; Life-Cycle Factor'!$H$7, IF(AND($E28&gt;='Launch flag &amp; Life-Cycle Factor'!$F$6, $E28&lt;='Launch flag &amp; Life-Cycle Factor'!$E$6),'Launch flag &amp; Life-Cycle Factor'!$H$6, "-")))))))))))))))))))</f>
        <v>0</v>
      </c>
      <c r="Q28" s="655">
        <f>IF(AND($E28&gt;='Launch flag &amp; Life-Cycle Factor'!$F$24, $E28&lt;='Launch flag &amp; Life-Cycle Factor'!$E$24),'Launch flag &amp; Life-Cycle Factor'!$I$24, IF(AND($E28&gt;='Launch flag &amp; Life-Cycle Factor'!$F$23, $E28&lt;='Launch flag &amp; Life-Cycle Factor'!$E$23),'Launch flag &amp; Life-Cycle Factor'!$I$23, IF(AND($E28&gt;='Launch flag &amp; Life-Cycle Factor'!$F$22, $E28&lt;='Launch flag &amp; Life-Cycle Factor'!$E$22),'Launch flag &amp; Life-Cycle Factor'!$I$22, IF(AND($E28&gt;='Launch flag &amp; Life-Cycle Factor'!$F$21, $E28&lt;='Launch flag &amp; Life-Cycle Factor'!$E$21),'Launch flag &amp; Life-Cycle Factor'!$I$21, IF(AND($E28&gt;='Launch flag &amp; Life-Cycle Factor'!$F$20, $E28&lt;='Launch flag &amp; Life-Cycle Factor'!$E$20),'Launch flag &amp; Life-Cycle Factor'!$I$20, IF(AND($E28&gt;='Launch flag &amp; Life-Cycle Factor'!$F$19, $E28&lt;='Launch flag &amp; Life-Cycle Factor'!$E$19),'Launch flag &amp; Life-Cycle Factor'!$I$19, IF(AND($E28&gt;='Launch flag &amp; Life-Cycle Factor'!$F$18, $E28&lt;='Launch flag &amp; Life-Cycle Factor'!$E$18),'Launch flag &amp; Life-Cycle Factor'!$I$18, IF(AND($E28&gt;='Launch flag &amp; Life-Cycle Factor'!$F$17, $E28&lt;='Launch flag &amp; Life-Cycle Factor'!$E$17),'Launch flag &amp; Life-Cycle Factor'!$I$17, IF(AND($E28&gt;='Launch flag &amp; Life-Cycle Factor'!$F$16, $E28&lt;='Launch flag &amp; Life-Cycle Factor'!$E$16),'Launch flag &amp; Life-Cycle Factor'!$I$16,IF(AND($E28&gt;='Launch flag &amp; Life-Cycle Factor'!$F$15, $E28&lt;='Launch flag &amp; Life-Cycle Factor'!$E$15),'Launch flag &amp; Life-Cycle Factor'!$I$15, IF(AND($E28&gt;='Launch flag &amp; Life-Cycle Factor'!$F$14, $E28&lt;='Launch flag &amp; Life-Cycle Factor'!$E$14),'Launch flag &amp; Life-Cycle Factor'!$I$14,IF(AND($E28&gt;='Launch flag &amp; Life-Cycle Factor'!$F$13, $E28&lt;='Launch flag &amp; Life-Cycle Factor'!$E$13),'Launch flag &amp; Life-Cycle Factor'!$I$13, IF(AND($E28&gt;='Launch flag &amp; Life-Cycle Factor'!$F$12, $E28&lt;='Launch flag &amp; Life-Cycle Factor'!$E$12),'Launch flag &amp; Life-Cycle Factor'!$I$12, IF(AND($E28&gt;='Launch flag &amp; Life-Cycle Factor'!$F$11, $E28&lt;='Launch flag &amp; Life-Cycle Factor'!$E$11),'Launch flag &amp; Life-Cycle Factor'!$I$11, IF(AND($E28&gt;='Launch flag &amp; Life-Cycle Factor'!$F$10, $E28&lt;='Launch flag &amp; Life-Cycle Factor'!$E$10),'Launch flag &amp; Life-Cycle Factor'!$I$10, IF(AND($E28&gt;='Launch flag &amp; Life-Cycle Factor'!$F$9, $E28&lt;='Launch flag &amp; Life-Cycle Factor'!$E$9),'Launch flag &amp; Life-Cycle Factor'!$I$9, IF(AND($E28&gt;='Launch flag &amp; Life-Cycle Factor'!$F$8, $E28&lt;='Launch flag &amp; Life-Cycle Factor'!$E$8),'Launch flag &amp; Life-Cycle Factor'!$I$8, IF(AND($E28&gt;='Launch flag &amp; Life-Cycle Factor'!$F$7, $E28&lt;='Launch flag &amp; Life-Cycle Factor'!$E$7),'Launch flag &amp; Life-Cycle Factor'!$I$7, IF(AND($E28&gt;='Launch flag &amp; Life-Cycle Factor'!$F$6, $E28&lt;='Launch flag &amp; Life-Cycle Factor'!$E$6),'Launch flag &amp; Life-Cycle Factor'!$I$6, "-")))))))))))))))))))</f>
        <v>0.7</v>
      </c>
      <c r="R28" s="662">
        <f t="shared" si="0"/>
        <v>0</v>
      </c>
      <c r="S28" s="663">
        <f t="shared" si="1"/>
        <v>13.162737552167991</v>
      </c>
      <c r="T28" s="242">
        <f t="shared" si="2"/>
        <v>0</v>
      </c>
      <c r="U28" s="243">
        <f t="shared" si="3"/>
        <v>13.162737552167991</v>
      </c>
      <c r="V28" s="837">
        <f t="shared" si="4"/>
        <v>13.162737552167991</v>
      </c>
      <c r="W28" s="838">
        <f t="shared" si="5"/>
        <v>13.162737552167991</v>
      </c>
      <c r="X28" s="672"/>
    </row>
    <row r="29" spans="2:24" x14ac:dyDescent="0.35">
      <c r="B29" s="186" t="s">
        <v>43</v>
      </c>
      <c r="C29" s="192" t="s">
        <v>163</v>
      </c>
      <c r="D29" s="206" t="str">
        <f>IF(AND($E29&gt;='Launch flag &amp; Life-Cycle Factor'!$F$24, $E29&lt;='Launch flag &amp; Life-Cycle Factor'!$E$24),'Launch flag &amp; Life-Cycle Factor'!$B$24, IF(AND($E29&gt;='Launch flag &amp; Life-Cycle Factor'!$F$23, $E29&lt;='Launch flag &amp; Life-Cycle Factor'!$E$23),'Launch flag &amp; Life-Cycle Factor'!$B$23, IF(AND($E29&gt;='Launch flag &amp; Life-Cycle Factor'!$F$22, $E29&lt;='Launch flag &amp; Life-Cycle Factor'!$E$22),'Launch flag &amp; Life-Cycle Factor'!$B$22, IF(AND($E29&gt;='Launch flag &amp; Life-Cycle Factor'!$F$21, $E29&lt;='Launch flag &amp; Life-Cycle Factor'!$E$21),'Launch flag &amp; Life-Cycle Factor'!$B$21, IF(AND($E29&gt;='Launch flag &amp; Life-Cycle Factor'!$F$20, $E29&lt;='Launch flag &amp; Life-Cycle Factor'!$E$20),'Launch flag &amp; Life-Cycle Factor'!$B$20, IF(AND($E29&gt;='Launch flag &amp; Life-Cycle Factor'!$F$19, $E29&lt;='Launch flag &amp; Life-Cycle Factor'!$E$19),'Launch flag &amp; Life-Cycle Factor'!$B$19, IF(AND($E29&gt;='Launch flag &amp; Life-Cycle Factor'!$F$18, $E29&lt;='Launch flag &amp; Life-Cycle Factor'!$E$18),'Launch flag &amp; Life-Cycle Factor'!$B$18, IF(AND($E29&gt;='Launch flag &amp; Life-Cycle Factor'!$F$17, $E29&lt;='Launch flag &amp; Life-Cycle Factor'!$E$17),'Launch flag &amp; Life-Cycle Factor'!$B$17, IF(AND($E29&gt;='Launch flag &amp; Life-Cycle Factor'!$F$16, $E29&lt;='Launch flag &amp; Life-Cycle Factor'!$E$16),'Launch flag &amp; Life-Cycle Factor'!$B$16,IF(AND($E29&gt;='Launch flag &amp; Life-Cycle Factor'!$F$15, $E29&lt;='Launch flag &amp; Life-Cycle Factor'!$E$15),'Launch flag &amp; Life-Cycle Factor'!$B$15, IF(AND($E29&gt;='Launch flag &amp; Life-Cycle Factor'!$F$14, $E29&lt;='Launch flag &amp; Life-Cycle Factor'!$E$14),'Launch flag &amp; Life-Cycle Factor'!$B$14,IF(AND($E29&gt;='Launch flag &amp; Life-Cycle Factor'!$F$13, $E29&lt;='Launch flag &amp; Life-Cycle Factor'!$E$13),'Launch flag &amp; Life-Cycle Factor'!$B$13, IF(AND($E29&gt;='Launch flag &amp; Life-Cycle Factor'!$F$12, $E29&lt;='Launch flag &amp; Life-Cycle Factor'!$E$12),'Launch flag &amp; Life-Cycle Factor'!$B$12, IF(AND($E29&gt;='Launch flag &amp; Life-Cycle Factor'!$F$11, $E29&lt;='Launch flag &amp; Life-Cycle Factor'!$E$11),'Launch flag &amp; Life-Cycle Factor'!$B$11, IF(AND($E29&gt;='Launch flag &amp; Life-Cycle Factor'!$F$10, $E29&lt;='Launch flag &amp; Life-Cycle Factor'!$E$10),'Launch flag &amp; Life-Cycle Factor'!$B$10, IF(AND($E29&gt;='Launch flag &amp; Life-Cycle Factor'!$F$9, $E29&lt;='Launch flag &amp; Life-Cycle Factor'!$E$9),'Launch flag &amp; Life-Cycle Factor'!$B$9, IF(AND($E29&gt;='Launch flag &amp; Life-Cycle Factor'!$F$8, $E29&lt;='Launch flag &amp; Life-Cycle Factor'!$E$8),'Launch flag &amp; Life-Cycle Factor'!$B$8, IF(AND($E29&gt;='Launch flag &amp; Life-Cycle Factor'!$F$7, $E29&lt;='Launch flag &amp; Life-Cycle Factor'!$E$7),'Launch flag &amp; Life-Cycle Factor'!$B$7, IF(AND($E29&gt;='Launch flag &amp; Life-Cycle Factor'!$F$6, $E29&lt;='Launch flag &amp; Life-Cycle Factor'!$E$6),'Launch flag &amp; Life-Cycle Factor'!$B$6, "-")))))))))))))))))))</f>
        <v>Mature</v>
      </c>
      <c r="E29" s="219">
        <f>INDEX('NPS with launch Dates '!$J$6:$J$59,MATCH('2.  Sales Data Key &amp; Key-Lyn'!$C29,'NPS with launch Dates '!$I$6:$I$59,0))</f>
        <v>43101</v>
      </c>
      <c r="F29" s="197">
        <f>INDEX('Raw Sales Forecasting Data'!$D$11:$H$126,MATCH('2.  Sales Data Key &amp; Key-Lyn'!$C29,'Raw Sales Forecasting Data'!$C$11:$C$126,0),MATCH('2.  Sales Data Key &amp; Key-Lyn'!F$6,'Raw Sales Forecasting Data'!$D$10:$H$10,0))</f>
        <v>108</v>
      </c>
      <c r="G29" s="198">
        <f>INDEX('Raw Sales Forecasting Data'!$D$11:$H$126,MATCH('2.  Sales Data Key &amp; Key-Lyn'!$C29,'Raw Sales Forecasting Data'!$C$11:$C$126,0),MATCH('2.  Sales Data Key &amp; Key-Lyn'!G$6,'Raw Sales Forecasting Data'!$D$10:$H$10,0))</f>
        <v>137</v>
      </c>
      <c r="H29" s="198">
        <f>INDEX('Raw Sales Forecasting Data'!$D$11:$H$126,MATCH('2.  Sales Data Key &amp; Key-Lyn'!$C29,'Raw Sales Forecasting Data'!$C$11:$C$126,0),MATCH('2.  Sales Data Key &amp; Key-Lyn'!H$6,'Raw Sales Forecasting Data'!$D$10:$H$10,0))</f>
        <v>154.48181694236982</v>
      </c>
      <c r="I29" s="198">
        <f>INDEX('Raw Sales Forecasting Data'!$D$11:$H$126,MATCH('2.  Sales Data Key &amp; Key-Lyn'!$C29,'Raw Sales Forecasting Data'!$C$11:$C$126,0),MATCH('2.  Sales Data Key &amp; Key-Lyn'!I$6,'Raw Sales Forecasting Data'!$D$10:$H$10,0))</f>
        <v>161.0551509707862</v>
      </c>
      <c r="J29" s="199">
        <f>INDEX('Raw Sales Forecasting Data'!$D$11:$H$126,MATCH('2.  Sales Data Key &amp; Key-Lyn'!$C29,'Raw Sales Forecasting Data'!$C$11:$C$126,0),MATCH('2.  Sales Data Key &amp; Key-Lyn'!J$6,'Raw Sales Forecasting Data'!$D$10:$H$10,0))</f>
        <v>161.0551509707862</v>
      </c>
      <c r="K29" s="203">
        <f>INDEX('Raw Sales Forecasting Data'!$J$11:$N$126,MATCH('2.  Sales Data Key &amp; Key-Lyn'!$C29,'Raw Sales Forecasting Data'!$C$11:$C$126,0),MATCH('2.  Sales Data Key &amp; Key-Lyn'!K$6,'Raw Sales Forecasting Data'!$J$10:$N$10,0))</f>
        <v>108</v>
      </c>
      <c r="L29" s="198">
        <f>INDEX('Raw Sales Forecasting Data'!$J$11:$N$126,MATCH('2.  Sales Data Key &amp; Key-Lyn'!$C29,'Raw Sales Forecasting Data'!$C$11:$C$126,0),MATCH('2.  Sales Data Key &amp; Key-Lyn'!L$6,'Raw Sales Forecasting Data'!$J$10:$N$10,0))</f>
        <v>137</v>
      </c>
      <c r="M29" s="198">
        <f>INDEX('Raw Sales Forecasting Data'!$J$11:$N$126,MATCH('2.  Sales Data Key &amp; Key-Lyn'!$C29,'Raw Sales Forecasting Data'!$C$11:$C$126,0),MATCH('2.  Sales Data Key &amp; Key-Lyn'!M$6,'Raw Sales Forecasting Data'!$J$10:$N$10,0))</f>
        <v>154.48181694236982</v>
      </c>
      <c r="N29" s="198">
        <f>INDEX('Raw Sales Forecasting Data'!$J$11:$N$126,MATCH('2.  Sales Data Key &amp; Key-Lyn'!$C29,'Raw Sales Forecasting Data'!$C$11:$C$126,0),MATCH('2.  Sales Data Key &amp; Key-Lyn'!N$6,'Raw Sales Forecasting Data'!$J$10:$N$10,0))</f>
        <v>161.0551509707862</v>
      </c>
      <c r="O29" s="238">
        <f>INDEX('Raw Sales Forecasting Data'!$J$11:$N$126,MATCH('2.  Sales Data Key &amp; Key-Lyn'!$C29,'Raw Sales Forecasting Data'!$C$11:$C$126,0),MATCH('2.  Sales Data Key &amp; Key-Lyn'!O$6,'Raw Sales Forecasting Data'!$J$10:$N$10,0))</f>
        <v>161.0551509707862</v>
      </c>
      <c r="P29" s="240">
        <f>IF(AND($E29&gt;='Launch flag &amp; Life-Cycle Factor'!$F$24, $E29&lt;='Launch flag &amp; Life-Cycle Factor'!$E$24),'Launch flag &amp; Life-Cycle Factor'!$H$24, IF(AND($E29&gt;='Launch flag &amp; Life-Cycle Factor'!$F$23, $E29&lt;='Launch flag &amp; Life-Cycle Factor'!$E$23),'Launch flag &amp; Life-Cycle Factor'!$H$23, IF(AND($E29&gt;='Launch flag &amp; Life-Cycle Factor'!$F$22, $E29&lt;='Launch flag &amp; Life-Cycle Factor'!$E$22),'Launch flag &amp; Life-Cycle Factor'!$H$22, IF(AND($E29&gt;='Launch flag &amp; Life-Cycle Factor'!$F$21, $E29&lt;='Launch flag &amp; Life-Cycle Factor'!$E$21),'Launch flag &amp; Life-Cycle Factor'!$H$21, IF(AND($E29&gt;='Launch flag &amp; Life-Cycle Factor'!$F$20, $E29&lt;='Launch flag &amp; Life-Cycle Factor'!$E$20),'Launch flag &amp; Life-Cycle Factor'!$H$20, IF(AND($E29&gt;='Launch flag &amp; Life-Cycle Factor'!$F$19, $E29&lt;='Launch flag &amp; Life-Cycle Factor'!$E$19),'Launch flag &amp; Life-Cycle Factor'!$H$19, IF(AND($E29&gt;='Launch flag &amp; Life-Cycle Factor'!$F$18, $E29&lt;='Launch flag &amp; Life-Cycle Factor'!$E$18),'Launch flag &amp; Life-Cycle Factor'!$H$18, IF(AND($E29&gt;='Launch flag &amp; Life-Cycle Factor'!$F$17, $E29&lt;='Launch flag &amp; Life-Cycle Factor'!$E$17),'Launch flag &amp; Life-Cycle Factor'!$H$17, IF(AND($E29&gt;='Launch flag &amp; Life-Cycle Factor'!$F$16, $E29&lt;='Launch flag &amp; Life-Cycle Factor'!$E$16),'Launch flag &amp; Life-Cycle Factor'!$H$16,IF(AND($E29&gt;='Launch flag &amp; Life-Cycle Factor'!$F$15, $E29&lt;='Launch flag &amp; Life-Cycle Factor'!$E$15),'Launch flag &amp; Life-Cycle Factor'!$H$15, IF(AND($E29&gt;='Launch flag &amp; Life-Cycle Factor'!$F$14, $E29&lt;='Launch flag &amp; Life-Cycle Factor'!$E$14),'Launch flag &amp; Life-Cycle Factor'!$H$14,IF(AND($E29&gt;='Launch flag &amp; Life-Cycle Factor'!$F$13, $E29&lt;='Launch flag &amp; Life-Cycle Factor'!$E$13),'Launch flag &amp; Life-Cycle Factor'!$H$13, IF(AND($E29&gt;='Launch flag &amp; Life-Cycle Factor'!$F$12, $E29&lt;='Launch flag &amp; Life-Cycle Factor'!$E$12),'Launch flag &amp; Life-Cycle Factor'!$H$12, IF(AND($E29&gt;='Launch flag &amp; Life-Cycle Factor'!$F$11, $E29&lt;='Launch flag &amp; Life-Cycle Factor'!$E$11),'Launch flag &amp; Life-Cycle Factor'!$H$11, IF(AND($E29&gt;='Launch flag &amp; Life-Cycle Factor'!$F$10, $E29&lt;='Launch flag &amp; Life-Cycle Factor'!$E$10),'Launch flag &amp; Life-Cycle Factor'!$H$10, IF(AND($E29&gt;='Launch flag &amp; Life-Cycle Factor'!$F$9, $E29&lt;='Launch flag &amp; Life-Cycle Factor'!$E$9),'Launch flag &amp; Life-Cycle Factor'!$H$9, IF(AND($E29&gt;='Launch flag &amp; Life-Cycle Factor'!$F$8, $E29&lt;='Launch flag &amp; Life-Cycle Factor'!$E$8),'Launch flag &amp; Life-Cycle Factor'!$H$8, IF(AND($E29&gt;='Launch flag &amp; Life-Cycle Factor'!$F$7, $E29&lt;='Launch flag &amp; Life-Cycle Factor'!$E$7),'Launch flag &amp; Life-Cycle Factor'!$H$7, IF(AND($E29&gt;='Launch flag &amp; Life-Cycle Factor'!$F$6, $E29&lt;='Launch flag &amp; Life-Cycle Factor'!$E$6),'Launch flag &amp; Life-Cycle Factor'!$H$6, "-")))))))))))))))))))</f>
        <v>0.65</v>
      </c>
      <c r="Q29" s="655">
        <f>IF(AND($E29&gt;='Launch flag &amp; Life-Cycle Factor'!$F$24, $E29&lt;='Launch flag &amp; Life-Cycle Factor'!$E$24),'Launch flag &amp; Life-Cycle Factor'!$I$24, IF(AND($E29&gt;='Launch flag &amp; Life-Cycle Factor'!$F$23, $E29&lt;='Launch flag &amp; Life-Cycle Factor'!$E$23),'Launch flag &amp; Life-Cycle Factor'!$I$23, IF(AND($E29&gt;='Launch flag &amp; Life-Cycle Factor'!$F$22, $E29&lt;='Launch flag &amp; Life-Cycle Factor'!$E$22),'Launch flag &amp; Life-Cycle Factor'!$I$22, IF(AND($E29&gt;='Launch flag &amp; Life-Cycle Factor'!$F$21, $E29&lt;='Launch flag &amp; Life-Cycle Factor'!$E$21),'Launch flag &amp; Life-Cycle Factor'!$I$21, IF(AND($E29&gt;='Launch flag &amp; Life-Cycle Factor'!$F$20, $E29&lt;='Launch flag &amp; Life-Cycle Factor'!$E$20),'Launch flag &amp; Life-Cycle Factor'!$I$20, IF(AND($E29&gt;='Launch flag &amp; Life-Cycle Factor'!$F$19, $E29&lt;='Launch flag &amp; Life-Cycle Factor'!$E$19),'Launch flag &amp; Life-Cycle Factor'!$I$19, IF(AND($E29&gt;='Launch flag &amp; Life-Cycle Factor'!$F$18, $E29&lt;='Launch flag &amp; Life-Cycle Factor'!$E$18),'Launch flag &amp; Life-Cycle Factor'!$I$18, IF(AND($E29&gt;='Launch flag &amp; Life-Cycle Factor'!$F$17, $E29&lt;='Launch flag &amp; Life-Cycle Factor'!$E$17),'Launch flag &amp; Life-Cycle Factor'!$I$17, IF(AND($E29&gt;='Launch flag &amp; Life-Cycle Factor'!$F$16, $E29&lt;='Launch flag &amp; Life-Cycle Factor'!$E$16),'Launch flag &amp; Life-Cycle Factor'!$I$16,IF(AND($E29&gt;='Launch flag &amp; Life-Cycle Factor'!$F$15, $E29&lt;='Launch flag &amp; Life-Cycle Factor'!$E$15),'Launch flag &amp; Life-Cycle Factor'!$I$15, IF(AND($E29&gt;='Launch flag &amp; Life-Cycle Factor'!$F$14, $E29&lt;='Launch flag &amp; Life-Cycle Factor'!$E$14),'Launch flag &amp; Life-Cycle Factor'!$I$14,IF(AND($E29&gt;='Launch flag &amp; Life-Cycle Factor'!$F$13, $E29&lt;='Launch flag &amp; Life-Cycle Factor'!$E$13),'Launch flag &amp; Life-Cycle Factor'!$I$13, IF(AND($E29&gt;='Launch flag &amp; Life-Cycle Factor'!$F$12, $E29&lt;='Launch flag &amp; Life-Cycle Factor'!$E$12),'Launch flag &amp; Life-Cycle Factor'!$I$12, IF(AND($E29&gt;='Launch flag &amp; Life-Cycle Factor'!$F$11, $E29&lt;='Launch flag &amp; Life-Cycle Factor'!$E$11),'Launch flag &amp; Life-Cycle Factor'!$I$11, IF(AND($E29&gt;='Launch flag &amp; Life-Cycle Factor'!$F$10, $E29&lt;='Launch flag &amp; Life-Cycle Factor'!$E$10),'Launch flag &amp; Life-Cycle Factor'!$I$10, IF(AND($E29&gt;='Launch flag &amp; Life-Cycle Factor'!$F$9, $E29&lt;='Launch flag &amp; Life-Cycle Factor'!$E$9),'Launch flag &amp; Life-Cycle Factor'!$I$9, IF(AND($E29&gt;='Launch flag &amp; Life-Cycle Factor'!$F$8, $E29&lt;='Launch flag &amp; Life-Cycle Factor'!$E$8),'Launch flag &amp; Life-Cycle Factor'!$I$8, IF(AND($E29&gt;='Launch flag &amp; Life-Cycle Factor'!$F$7, $E29&lt;='Launch flag &amp; Life-Cycle Factor'!$E$7),'Launch flag &amp; Life-Cycle Factor'!$I$7, IF(AND($E29&gt;='Launch flag &amp; Life-Cycle Factor'!$F$6, $E29&lt;='Launch flag &amp; Life-Cycle Factor'!$E$6),'Launch flag &amp; Life-Cycle Factor'!$I$6, "-")))))))))))))))))))</f>
        <v>0.35</v>
      </c>
      <c r="R29" s="662">
        <f t="shared" si="0"/>
        <v>89.05</v>
      </c>
      <c r="S29" s="663">
        <f t="shared" si="1"/>
        <v>54.068635929829433</v>
      </c>
      <c r="T29" s="242">
        <f t="shared" si="2"/>
        <v>89.05</v>
      </c>
      <c r="U29" s="243">
        <f t="shared" si="3"/>
        <v>54.068635929829433</v>
      </c>
      <c r="V29" s="837">
        <f t="shared" si="4"/>
        <v>143.11863592982942</v>
      </c>
      <c r="W29" s="838">
        <f t="shared" si="5"/>
        <v>143.11863592982942</v>
      </c>
      <c r="X29" s="672"/>
    </row>
    <row r="30" spans="2:24" x14ac:dyDescent="0.35">
      <c r="B30" s="186" t="s">
        <v>43</v>
      </c>
      <c r="C30" s="192" t="s">
        <v>168</v>
      </c>
      <c r="D30" s="206" t="str">
        <f>IF(AND($E30&gt;='Launch flag &amp; Life-Cycle Factor'!$F$24, $E30&lt;='Launch flag &amp; Life-Cycle Factor'!$E$24),'Launch flag &amp; Life-Cycle Factor'!$B$24, IF(AND($E30&gt;='Launch flag &amp; Life-Cycle Factor'!$F$23, $E30&lt;='Launch flag &amp; Life-Cycle Factor'!$E$23),'Launch flag &amp; Life-Cycle Factor'!$B$23, IF(AND($E30&gt;='Launch flag &amp; Life-Cycle Factor'!$F$22, $E30&lt;='Launch flag &amp; Life-Cycle Factor'!$E$22),'Launch flag &amp; Life-Cycle Factor'!$B$22, IF(AND($E30&gt;='Launch flag &amp; Life-Cycle Factor'!$F$21, $E30&lt;='Launch flag &amp; Life-Cycle Factor'!$E$21),'Launch flag &amp; Life-Cycle Factor'!$B$21, IF(AND($E30&gt;='Launch flag &amp; Life-Cycle Factor'!$F$20, $E30&lt;='Launch flag &amp; Life-Cycle Factor'!$E$20),'Launch flag &amp; Life-Cycle Factor'!$B$20, IF(AND($E30&gt;='Launch flag &amp; Life-Cycle Factor'!$F$19, $E30&lt;='Launch flag &amp; Life-Cycle Factor'!$E$19),'Launch flag &amp; Life-Cycle Factor'!$B$19, IF(AND($E30&gt;='Launch flag &amp; Life-Cycle Factor'!$F$18, $E30&lt;='Launch flag &amp; Life-Cycle Factor'!$E$18),'Launch flag &amp; Life-Cycle Factor'!$B$18, IF(AND($E30&gt;='Launch flag &amp; Life-Cycle Factor'!$F$17, $E30&lt;='Launch flag &amp; Life-Cycle Factor'!$E$17),'Launch flag &amp; Life-Cycle Factor'!$B$17, IF(AND($E30&gt;='Launch flag &amp; Life-Cycle Factor'!$F$16, $E30&lt;='Launch flag &amp; Life-Cycle Factor'!$E$16),'Launch flag &amp; Life-Cycle Factor'!$B$16,IF(AND($E30&gt;='Launch flag &amp; Life-Cycle Factor'!$F$15, $E30&lt;='Launch flag &amp; Life-Cycle Factor'!$E$15),'Launch flag &amp; Life-Cycle Factor'!$B$15, IF(AND($E30&gt;='Launch flag &amp; Life-Cycle Factor'!$F$14, $E30&lt;='Launch flag &amp; Life-Cycle Factor'!$E$14),'Launch flag &amp; Life-Cycle Factor'!$B$14,IF(AND($E30&gt;='Launch flag &amp; Life-Cycle Factor'!$F$13, $E30&lt;='Launch flag &amp; Life-Cycle Factor'!$E$13),'Launch flag &amp; Life-Cycle Factor'!$B$13, IF(AND($E30&gt;='Launch flag &amp; Life-Cycle Factor'!$F$12, $E30&lt;='Launch flag &amp; Life-Cycle Factor'!$E$12),'Launch flag &amp; Life-Cycle Factor'!$B$12, IF(AND($E30&gt;='Launch flag &amp; Life-Cycle Factor'!$F$11, $E30&lt;='Launch flag &amp; Life-Cycle Factor'!$E$11),'Launch flag &amp; Life-Cycle Factor'!$B$11, IF(AND($E30&gt;='Launch flag &amp; Life-Cycle Factor'!$F$10, $E30&lt;='Launch flag &amp; Life-Cycle Factor'!$E$10),'Launch flag &amp; Life-Cycle Factor'!$B$10, IF(AND($E30&gt;='Launch flag &amp; Life-Cycle Factor'!$F$9, $E30&lt;='Launch flag &amp; Life-Cycle Factor'!$E$9),'Launch flag &amp; Life-Cycle Factor'!$B$9, IF(AND($E30&gt;='Launch flag &amp; Life-Cycle Factor'!$F$8, $E30&lt;='Launch flag &amp; Life-Cycle Factor'!$E$8),'Launch flag &amp; Life-Cycle Factor'!$B$8, IF(AND($E30&gt;='Launch flag &amp; Life-Cycle Factor'!$F$7, $E30&lt;='Launch flag &amp; Life-Cycle Factor'!$E$7),'Launch flag &amp; Life-Cycle Factor'!$B$7, IF(AND($E30&gt;='Launch flag &amp; Life-Cycle Factor'!$F$6, $E30&lt;='Launch flag &amp; Life-Cycle Factor'!$E$6),'Launch flag &amp; Life-Cycle Factor'!$B$6, "-")))))))))))))))))))</f>
        <v>Future Launch</v>
      </c>
      <c r="E30" s="219">
        <f>INDEX('NPS with launch Dates '!$J$6:$J$59,MATCH('2.  Sales Data Key &amp; Key-Lyn'!$C30,'NPS with launch Dates '!$I$6:$I$59,0))</f>
        <v>45963</v>
      </c>
      <c r="F30" s="197">
        <f>INDEX('Raw Sales Forecasting Data'!$D$11:$H$126,MATCH('2.  Sales Data Key &amp; Key-Lyn'!$C30,'Raw Sales Forecasting Data'!$C$11:$C$126,0),MATCH('2.  Sales Data Key &amp; Key-Lyn'!F$6,'Raw Sales Forecasting Data'!$D$10:$H$10,0))</f>
        <v>0</v>
      </c>
      <c r="G30" s="198">
        <f>INDEX('Raw Sales Forecasting Data'!$D$11:$H$126,MATCH('2.  Sales Data Key &amp; Key-Lyn'!$C30,'Raw Sales Forecasting Data'!$C$11:$C$126,0),MATCH('2.  Sales Data Key &amp; Key-Lyn'!G$6,'Raw Sales Forecasting Data'!$D$10:$H$10,0))</f>
        <v>0</v>
      </c>
      <c r="H30" s="198">
        <f>INDEX('Raw Sales Forecasting Data'!$D$11:$H$126,MATCH('2.  Sales Data Key &amp; Key-Lyn'!$C30,'Raw Sales Forecasting Data'!$C$11:$C$126,0),MATCH('2.  Sales Data Key &amp; Key-Lyn'!H$6,'Raw Sales Forecasting Data'!$D$10:$H$10,0))</f>
        <v>9.3416233920248004E-2</v>
      </c>
      <c r="I30" s="198">
        <f>INDEX('Raw Sales Forecasting Data'!$D$11:$H$126,MATCH('2.  Sales Data Key &amp; Key-Lyn'!$C30,'Raw Sales Forecasting Data'!$C$11:$C$126,0),MATCH('2.  Sales Data Key &amp; Key-Lyn'!I$6,'Raw Sales Forecasting Data'!$D$10:$H$10,0))</f>
        <v>16.369345014882995</v>
      </c>
      <c r="J30" s="199">
        <f>INDEX('Raw Sales Forecasting Data'!$D$11:$H$126,MATCH('2.  Sales Data Key &amp; Key-Lyn'!$C30,'Raw Sales Forecasting Data'!$C$11:$C$126,0),MATCH('2.  Sales Data Key &amp; Key-Lyn'!J$6,'Raw Sales Forecasting Data'!$D$10:$H$10,0))</f>
        <v>48.279646277324964</v>
      </c>
      <c r="K30" s="203">
        <f>INDEX('Raw Sales Forecasting Data'!$J$11:$N$126,MATCH('2.  Sales Data Key &amp; Key-Lyn'!$C30,'Raw Sales Forecasting Data'!$C$11:$C$126,0),MATCH('2.  Sales Data Key &amp; Key-Lyn'!K$6,'Raw Sales Forecasting Data'!$J$10:$N$10,0))</f>
        <v>0</v>
      </c>
      <c r="L30" s="198">
        <f>INDEX('Raw Sales Forecasting Data'!$J$11:$N$126,MATCH('2.  Sales Data Key &amp; Key-Lyn'!$C30,'Raw Sales Forecasting Data'!$C$11:$C$126,0),MATCH('2.  Sales Data Key &amp; Key-Lyn'!L$6,'Raw Sales Forecasting Data'!$J$10:$N$10,0))</f>
        <v>0</v>
      </c>
      <c r="M30" s="198">
        <f>INDEX('Raw Sales Forecasting Data'!$J$11:$N$126,MATCH('2.  Sales Data Key &amp; Key-Lyn'!$C30,'Raw Sales Forecasting Data'!$C$11:$C$126,0),MATCH('2.  Sales Data Key &amp; Key-Lyn'!M$6,'Raw Sales Forecasting Data'!$J$10:$N$10,0))</f>
        <v>9.3416233920248004E-2</v>
      </c>
      <c r="N30" s="198">
        <f>INDEX('Raw Sales Forecasting Data'!$J$11:$N$126,MATCH('2.  Sales Data Key &amp; Key-Lyn'!$C30,'Raw Sales Forecasting Data'!$C$11:$C$126,0),MATCH('2.  Sales Data Key &amp; Key-Lyn'!N$6,'Raw Sales Forecasting Data'!$J$10:$N$10,0))</f>
        <v>16.369345014882995</v>
      </c>
      <c r="O30" s="238">
        <f>INDEX('Raw Sales Forecasting Data'!$J$11:$N$126,MATCH('2.  Sales Data Key &amp; Key-Lyn'!$C30,'Raw Sales Forecasting Data'!$C$11:$C$126,0),MATCH('2.  Sales Data Key &amp; Key-Lyn'!O$6,'Raw Sales Forecasting Data'!$J$10:$N$10,0))</f>
        <v>48.279646277324964</v>
      </c>
      <c r="P30" s="240">
        <f>IF(AND($E30&gt;='Launch flag &amp; Life-Cycle Factor'!$F$24, $E30&lt;='Launch flag &amp; Life-Cycle Factor'!$E$24),'Launch flag &amp; Life-Cycle Factor'!$H$24, IF(AND($E30&gt;='Launch flag &amp; Life-Cycle Factor'!$F$23, $E30&lt;='Launch flag &amp; Life-Cycle Factor'!$E$23),'Launch flag &amp; Life-Cycle Factor'!$H$23, IF(AND($E30&gt;='Launch flag &amp; Life-Cycle Factor'!$F$22, $E30&lt;='Launch flag &amp; Life-Cycle Factor'!$E$22),'Launch flag &amp; Life-Cycle Factor'!$H$22, IF(AND($E30&gt;='Launch flag &amp; Life-Cycle Factor'!$F$21, $E30&lt;='Launch flag &amp; Life-Cycle Factor'!$E$21),'Launch flag &amp; Life-Cycle Factor'!$H$21, IF(AND($E30&gt;='Launch flag &amp; Life-Cycle Factor'!$F$20, $E30&lt;='Launch flag &amp; Life-Cycle Factor'!$E$20),'Launch flag &amp; Life-Cycle Factor'!$H$20, IF(AND($E30&gt;='Launch flag &amp; Life-Cycle Factor'!$F$19, $E30&lt;='Launch flag &amp; Life-Cycle Factor'!$E$19),'Launch flag &amp; Life-Cycle Factor'!$H$19, IF(AND($E30&gt;='Launch flag &amp; Life-Cycle Factor'!$F$18, $E30&lt;='Launch flag &amp; Life-Cycle Factor'!$E$18),'Launch flag &amp; Life-Cycle Factor'!$H$18, IF(AND($E30&gt;='Launch flag &amp; Life-Cycle Factor'!$F$17, $E30&lt;='Launch flag &amp; Life-Cycle Factor'!$E$17),'Launch flag &amp; Life-Cycle Factor'!$H$17, IF(AND($E30&gt;='Launch flag &amp; Life-Cycle Factor'!$F$16, $E30&lt;='Launch flag &amp; Life-Cycle Factor'!$E$16),'Launch flag &amp; Life-Cycle Factor'!$H$16,IF(AND($E30&gt;='Launch flag &amp; Life-Cycle Factor'!$F$15, $E30&lt;='Launch flag &amp; Life-Cycle Factor'!$E$15),'Launch flag &amp; Life-Cycle Factor'!$H$15, IF(AND($E30&gt;='Launch flag &amp; Life-Cycle Factor'!$F$14, $E30&lt;='Launch flag &amp; Life-Cycle Factor'!$E$14),'Launch flag &amp; Life-Cycle Factor'!$H$14,IF(AND($E30&gt;='Launch flag &amp; Life-Cycle Factor'!$F$13, $E30&lt;='Launch flag &amp; Life-Cycle Factor'!$E$13),'Launch flag &amp; Life-Cycle Factor'!$H$13, IF(AND($E30&gt;='Launch flag &amp; Life-Cycle Factor'!$F$12, $E30&lt;='Launch flag &amp; Life-Cycle Factor'!$E$12),'Launch flag &amp; Life-Cycle Factor'!$H$12, IF(AND($E30&gt;='Launch flag &amp; Life-Cycle Factor'!$F$11, $E30&lt;='Launch flag &amp; Life-Cycle Factor'!$E$11),'Launch flag &amp; Life-Cycle Factor'!$H$11, IF(AND($E30&gt;='Launch flag &amp; Life-Cycle Factor'!$F$10, $E30&lt;='Launch flag &amp; Life-Cycle Factor'!$E$10),'Launch flag &amp; Life-Cycle Factor'!$H$10, IF(AND($E30&gt;='Launch flag &amp; Life-Cycle Factor'!$F$9, $E30&lt;='Launch flag &amp; Life-Cycle Factor'!$E$9),'Launch flag &amp; Life-Cycle Factor'!$H$9, IF(AND($E30&gt;='Launch flag &amp; Life-Cycle Factor'!$F$8, $E30&lt;='Launch flag &amp; Life-Cycle Factor'!$E$8),'Launch flag &amp; Life-Cycle Factor'!$H$8, IF(AND($E30&gt;='Launch flag &amp; Life-Cycle Factor'!$F$7, $E30&lt;='Launch flag &amp; Life-Cycle Factor'!$E$7),'Launch flag &amp; Life-Cycle Factor'!$H$7, IF(AND($E30&gt;='Launch flag &amp; Life-Cycle Factor'!$F$6, $E30&lt;='Launch flag &amp; Life-Cycle Factor'!$E$6),'Launch flag &amp; Life-Cycle Factor'!$H$6, "-")))))))))))))))))))</f>
        <v>0</v>
      </c>
      <c r="Q30" s="655">
        <f>IF(AND($E30&gt;='Launch flag &amp; Life-Cycle Factor'!$F$24, $E30&lt;='Launch flag &amp; Life-Cycle Factor'!$E$24),'Launch flag &amp; Life-Cycle Factor'!$I$24, IF(AND($E30&gt;='Launch flag &amp; Life-Cycle Factor'!$F$23, $E30&lt;='Launch flag &amp; Life-Cycle Factor'!$E$23),'Launch flag &amp; Life-Cycle Factor'!$I$23, IF(AND($E30&gt;='Launch flag &amp; Life-Cycle Factor'!$F$22, $E30&lt;='Launch flag &amp; Life-Cycle Factor'!$E$22),'Launch flag &amp; Life-Cycle Factor'!$I$22, IF(AND($E30&gt;='Launch flag &amp; Life-Cycle Factor'!$F$21, $E30&lt;='Launch flag &amp; Life-Cycle Factor'!$E$21),'Launch flag &amp; Life-Cycle Factor'!$I$21, IF(AND($E30&gt;='Launch flag &amp; Life-Cycle Factor'!$F$20, $E30&lt;='Launch flag &amp; Life-Cycle Factor'!$E$20),'Launch flag &amp; Life-Cycle Factor'!$I$20, IF(AND($E30&gt;='Launch flag &amp; Life-Cycle Factor'!$F$19, $E30&lt;='Launch flag &amp; Life-Cycle Factor'!$E$19),'Launch flag &amp; Life-Cycle Factor'!$I$19, IF(AND($E30&gt;='Launch flag &amp; Life-Cycle Factor'!$F$18, $E30&lt;='Launch flag &amp; Life-Cycle Factor'!$E$18),'Launch flag &amp; Life-Cycle Factor'!$I$18, IF(AND($E30&gt;='Launch flag &amp; Life-Cycle Factor'!$F$17, $E30&lt;='Launch flag &amp; Life-Cycle Factor'!$E$17),'Launch flag &amp; Life-Cycle Factor'!$I$17, IF(AND($E30&gt;='Launch flag &amp; Life-Cycle Factor'!$F$16, $E30&lt;='Launch flag &amp; Life-Cycle Factor'!$E$16),'Launch flag &amp; Life-Cycle Factor'!$I$16,IF(AND($E30&gt;='Launch flag &amp; Life-Cycle Factor'!$F$15, $E30&lt;='Launch flag &amp; Life-Cycle Factor'!$E$15),'Launch flag &amp; Life-Cycle Factor'!$I$15, IF(AND($E30&gt;='Launch flag &amp; Life-Cycle Factor'!$F$14, $E30&lt;='Launch flag &amp; Life-Cycle Factor'!$E$14),'Launch flag &amp; Life-Cycle Factor'!$I$14,IF(AND($E30&gt;='Launch flag &amp; Life-Cycle Factor'!$F$13, $E30&lt;='Launch flag &amp; Life-Cycle Factor'!$E$13),'Launch flag &amp; Life-Cycle Factor'!$I$13, IF(AND($E30&gt;='Launch flag &amp; Life-Cycle Factor'!$F$12, $E30&lt;='Launch flag &amp; Life-Cycle Factor'!$E$12),'Launch flag &amp; Life-Cycle Factor'!$I$12, IF(AND($E30&gt;='Launch flag &amp; Life-Cycle Factor'!$F$11, $E30&lt;='Launch flag &amp; Life-Cycle Factor'!$E$11),'Launch flag &amp; Life-Cycle Factor'!$I$11, IF(AND($E30&gt;='Launch flag &amp; Life-Cycle Factor'!$F$10, $E30&lt;='Launch flag &amp; Life-Cycle Factor'!$E$10),'Launch flag &amp; Life-Cycle Factor'!$I$10, IF(AND($E30&gt;='Launch flag &amp; Life-Cycle Factor'!$F$9, $E30&lt;='Launch flag &amp; Life-Cycle Factor'!$E$9),'Launch flag &amp; Life-Cycle Factor'!$I$9, IF(AND($E30&gt;='Launch flag &amp; Life-Cycle Factor'!$F$8, $E30&lt;='Launch flag &amp; Life-Cycle Factor'!$E$8),'Launch flag &amp; Life-Cycle Factor'!$I$8, IF(AND($E30&gt;='Launch flag &amp; Life-Cycle Factor'!$F$7, $E30&lt;='Launch flag &amp; Life-Cycle Factor'!$E$7),'Launch flag &amp; Life-Cycle Factor'!$I$7, IF(AND($E30&gt;='Launch flag &amp; Life-Cycle Factor'!$F$6, $E30&lt;='Launch flag &amp; Life-Cycle Factor'!$E$6),'Launch flag &amp; Life-Cycle Factor'!$I$6, "-")))))))))))))))))))</f>
        <v>0.7</v>
      </c>
      <c r="R30" s="662">
        <f t="shared" si="0"/>
        <v>0</v>
      </c>
      <c r="S30" s="663">
        <f t="shared" si="1"/>
        <v>6.5391363744173606E-2</v>
      </c>
      <c r="T30" s="242">
        <f t="shared" si="2"/>
        <v>0</v>
      </c>
      <c r="U30" s="243">
        <f t="shared" si="3"/>
        <v>6.5391363744173606E-2</v>
      </c>
      <c r="V30" s="837">
        <f t="shared" si="4"/>
        <v>6.5391363744173606E-2</v>
      </c>
      <c r="W30" s="838">
        <f t="shared" si="5"/>
        <v>6.5391363744173606E-2</v>
      </c>
      <c r="X30" s="672"/>
    </row>
    <row r="31" spans="2:24" x14ac:dyDescent="0.35">
      <c r="B31" s="186" t="s">
        <v>43</v>
      </c>
      <c r="C31" s="192" t="s">
        <v>173</v>
      </c>
      <c r="D31" s="206" t="str">
        <f>IF(AND($E31&gt;='Launch flag &amp; Life-Cycle Factor'!$F$24, $E31&lt;='Launch flag &amp; Life-Cycle Factor'!$E$24),'Launch flag &amp; Life-Cycle Factor'!$B$24, IF(AND($E31&gt;='Launch flag &amp; Life-Cycle Factor'!$F$23, $E31&lt;='Launch flag &amp; Life-Cycle Factor'!$E$23),'Launch flag &amp; Life-Cycle Factor'!$B$23, IF(AND($E31&gt;='Launch flag &amp; Life-Cycle Factor'!$F$22, $E31&lt;='Launch flag &amp; Life-Cycle Factor'!$E$22),'Launch flag &amp; Life-Cycle Factor'!$B$22, IF(AND($E31&gt;='Launch flag &amp; Life-Cycle Factor'!$F$21, $E31&lt;='Launch flag &amp; Life-Cycle Factor'!$E$21),'Launch flag &amp; Life-Cycle Factor'!$B$21, IF(AND($E31&gt;='Launch flag &amp; Life-Cycle Factor'!$F$20, $E31&lt;='Launch flag &amp; Life-Cycle Factor'!$E$20),'Launch flag &amp; Life-Cycle Factor'!$B$20, IF(AND($E31&gt;='Launch flag &amp; Life-Cycle Factor'!$F$19, $E31&lt;='Launch flag &amp; Life-Cycle Factor'!$E$19),'Launch flag &amp; Life-Cycle Factor'!$B$19, IF(AND($E31&gt;='Launch flag &amp; Life-Cycle Factor'!$F$18, $E31&lt;='Launch flag &amp; Life-Cycle Factor'!$E$18),'Launch flag &amp; Life-Cycle Factor'!$B$18, IF(AND($E31&gt;='Launch flag &amp; Life-Cycle Factor'!$F$17, $E31&lt;='Launch flag &amp; Life-Cycle Factor'!$E$17),'Launch flag &amp; Life-Cycle Factor'!$B$17, IF(AND($E31&gt;='Launch flag &amp; Life-Cycle Factor'!$F$16, $E31&lt;='Launch flag &amp; Life-Cycle Factor'!$E$16),'Launch flag &amp; Life-Cycle Factor'!$B$16,IF(AND($E31&gt;='Launch flag &amp; Life-Cycle Factor'!$F$15, $E31&lt;='Launch flag &amp; Life-Cycle Factor'!$E$15),'Launch flag &amp; Life-Cycle Factor'!$B$15, IF(AND($E31&gt;='Launch flag &amp; Life-Cycle Factor'!$F$14, $E31&lt;='Launch flag &amp; Life-Cycle Factor'!$E$14),'Launch flag &amp; Life-Cycle Factor'!$B$14,IF(AND($E31&gt;='Launch flag &amp; Life-Cycle Factor'!$F$13, $E31&lt;='Launch flag &amp; Life-Cycle Factor'!$E$13),'Launch flag &amp; Life-Cycle Factor'!$B$13, IF(AND($E31&gt;='Launch flag &amp; Life-Cycle Factor'!$F$12, $E31&lt;='Launch flag &amp; Life-Cycle Factor'!$E$12),'Launch flag &amp; Life-Cycle Factor'!$B$12, IF(AND($E31&gt;='Launch flag &amp; Life-Cycle Factor'!$F$11, $E31&lt;='Launch flag &amp; Life-Cycle Factor'!$E$11),'Launch flag &amp; Life-Cycle Factor'!$B$11, IF(AND($E31&gt;='Launch flag &amp; Life-Cycle Factor'!$F$10, $E31&lt;='Launch flag &amp; Life-Cycle Factor'!$E$10),'Launch flag &amp; Life-Cycle Factor'!$B$10, IF(AND($E31&gt;='Launch flag &amp; Life-Cycle Factor'!$F$9, $E31&lt;='Launch flag &amp; Life-Cycle Factor'!$E$9),'Launch flag &amp; Life-Cycle Factor'!$B$9, IF(AND($E31&gt;='Launch flag &amp; Life-Cycle Factor'!$F$8, $E31&lt;='Launch flag &amp; Life-Cycle Factor'!$E$8),'Launch flag &amp; Life-Cycle Factor'!$B$8, IF(AND($E31&gt;='Launch flag &amp; Life-Cycle Factor'!$F$7, $E31&lt;='Launch flag &amp; Life-Cycle Factor'!$E$7),'Launch flag &amp; Life-Cycle Factor'!$B$7, IF(AND($E31&gt;='Launch flag &amp; Life-Cycle Factor'!$F$6, $E31&lt;='Launch flag &amp; Life-Cycle Factor'!$E$6),'Launch flag &amp; Life-Cycle Factor'!$B$6, "-")))))))))))))))))))</f>
        <v>Mature</v>
      </c>
      <c r="E31" s="219">
        <f>INDEX('NPS with launch Dates '!$J$6:$J$59,MATCH('2.  Sales Data Key &amp; Key-Lyn'!$C31,'NPS with launch Dates '!$I$6:$I$59,0))</f>
        <v>43497</v>
      </c>
      <c r="F31" s="197">
        <f>INDEX('Raw Sales Forecasting Data'!$D$11:$H$126,MATCH('2.  Sales Data Key &amp; Key-Lyn'!$C31,'Raw Sales Forecasting Data'!$C$11:$C$126,0),MATCH('2.  Sales Data Key &amp; Key-Lyn'!F$6,'Raw Sales Forecasting Data'!$D$10:$H$10,0))</f>
        <v>204.87470334931857</v>
      </c>
      <c r="G31" s="198">
        <f>INDEX('Raw Sales Forecasting Data'!$D$11:$H$126,MATCH('2.  Sales Data Key &amp; Key-Lyn'!$C31,'Raw Sales Forecasting Data'!$C$11:$C$126,0),MATCH('2.  Sales Data Key &amp; Key-Lyn'!G$6,'Raw Sales Forecasting Data'!$D$10:$H$10,0))</f>
        <v>194.29179971023237</v>
      </c>
      <c r="H31" s="198">
        <f>INDEX('Raw Sales Forecasting Data'!$D$11:$H$126,MATCH('2.  Sales Data Key &amp; Key-Lyn'!$C31,'Raw Sales Forecasting Data'!$C$11:$C$126,0),MATCH('2.  Sales Data Key &amp; Key-Lyn'!H$6,'Raw Sales Forecasting Data'!$D$10:$H$10,0))</f>
        <v>189.66408544138986</v>
      </c>
      <c r="I31" s="198">
        <f>INDEX('Raw Sales Forecasting Data'!$D$11:$H$126,MATCH('2.  Sales Data Key &amp; Key-Lyn'!$C31,'Raw Sales Forecasting Data'!$C$11:$C$126,0),MATCH('2.  Sales Data Key &amp; Key-Lyn'!I$6,'Raw Sales Forecasting Data'!$D$10:$H$10,0))</f>
        <v>170.48926120610216</v>
      </c>
      <c r="J31" s="199">
        <f>INDEX('Raw Sales Forecasting Data'!$D$11:$H$126,MATCH('2.  Sales Data Key &amp; Key-Lyn'!$C31,'Raw Sales Forecasting Data'!$C$11:$C$126,0),MATCH('2.  Sales Data Key &amp; Key-Lyn'!J$6,'Raw Sales Forecasting Data'!$D$10:$H$10,0))</f>
        <v>168.12219455254328</v>
      </c>
      <c r="K31" s="203">
        <f>INDEX('Raw Sales Forecasting Data'!$J$11:$N$126,MATCH('2.  Sales Data Key &amp; Key-Lyn'!$C31,'Raw Sales Forecasting Data'!$C$11:$C$126,0),MATCH('2.  Sales Data Key &amp; Key-Lyn'!K$6,'Raw Sales Forecasting Data'!$J$10:$N$10,0))</f>
        <v>204.87470334931857</v>
      </c>
      <c r="L31" s="198">
        <f>INDEX('Raw Sales Forecasting Data'!$J$11:$N$126,MATCH('2.  Sales Data Key &amp; Key-Lyn'!$C31,'Raw Sales Forecasting Data'!$C$11:$C$126,0),MATCH('2.  Sales Data Key &amp; Key-Lyn'!L$6,'Raw Sales Forecasting Data'!$J$10:$N$10,0))</f>
        <v>194.29179971023237</v>
      </c>
      <c r="M31" s="198">
        <f>INDEX('Raw Sales Forecasting Data'!$J$11:$N$126,MATCH('2.  Sales Data Key &amp; Key-Lyn'!$C31,'Raw Sales Forecasting Data'!$C$11:$C$126,0),MATCH('2.  Sales Data Key &amp; Key-Lyn'!M$6,'Raw Sales Forecasting Data'!$J$10:$N$10,0))</f>
        <v>189.66408544138986</v>
      </c>
      <c r="N31" s="198">
        <f>INDEX('Raw Sales Forecasting Data'!$J$11:$N$126,MATCH('2.  Sales Data Key &amp; Key-Lyn'!$C31,'Raw Sales Forecasting Data'!$C$11:$C$126,0),MATCH('2.  Sales Data Key &amp; Key-Lyn'!N$6,'Raw Sales Forecasting Data'!$J$10:$N$10,0))</f>
        <v>170.48926120610216</v>
      </c>
      <c r="O31" s="238">
        <f>INDEX('Raw Sales Forecasting Data'!$J$11:$N$126,MATCH('2.  Sales Data Key &amp; Key-Lyn'!$C31,'Raw Sales Forecasting Data'!$C$11:$C$126,0),MATCH('2.  Sales Data Key &amp; Key-Lyn'!O$6,'Raw Sales Forecasting Data'!$J$10:$N$10,0))</f>
        <v>168.12219455254328</v>
      </c>
      <c r="P31" s="240">
        <f>IF(AND($E31&gt;='Launch flag &amp; Life-Cycle Factor'!$F$24, $E31&lt;='Launch flag &amp; Life-Cycle Factor'!$E$24),'Launch flag &amp; Life-Cycle Factor'!$H$24, IF(AND($E31&gt;='Launch flag &amp; Life-Cycle Factor'!$F$23, $E31&lt;='Launch flag &amp; Life-Cycle Factor'!$E$23),'Launch flag &amp; Life-Cycle Factor'!$H$23, IF(AND($E31&gt;='Launch flag &amp; Life-Cycle Factor'!$F$22, $E31&lt;='Launch flag &amp; Life-Cycle Factor'!$E$22),'Launch flag &amp; Life-Cycle Factor'!$H$22, IF(AND($E31&gt;='Launch flag &amp; Life-Cycle Factor'!$F$21, $E31&lt;='Launch flag &amp; Life-Cycle Factor'!$E$21),'Launch flag &amp; Life-Cycle Factor'!$H$21, IF(AND($E31&gt;='Launch flag &amp; Life-Cycle Factor'!$F$20, $E31&lt;='Launch flag &amp; Life-Cycle Factor'!$E$20),'Launch flag &amp; Life-Cycle Factor'!$H$20, IF(AND($E31&gt;='Launch flag &amp; Life-Cycle Factor'!$F$19, $E31&lt;='Launch flag &amp; Life-Cycle Factor'!$E$19),'Launch flag &amp; Life-Cycle Factor'!$H$19, IF(AND($E31&gt;='Launch flag &amp; Life-Cycle Factor'!$F$18, $E31&lt;='Launch flag &amp; Life-Cycle Factor'!$E$18),'Launch flag &amp; Life-Cycle Factor'!$H$18, IF(AND($E31&gt;='Launch flag &amp; Life-Cycle Factor'!$F$17, $E31&lt;='Launch flag &amp; Life-Cycle Factor'!$E$17),'Launch flag &amp; Life-Cycle Factor'!$H$17, IF(AND($E31&gt;='Launch flag &amp; Life-Cycle Factor'!$F$16, $E31&lt;='Launch flag &amp; Life-Cycle Factor'!$E$16),'Launch flag &amp; Life-Cycle Factor'!$H$16,IF(AND($E31&gt;='Launch flag &amp; Life-Cycle Factor'!$F$15, $E31&lt;='Launch flag &amp; Life-Cycle Factor'!$E$15),'Launch flag &amp; Life-Cycle Factor'!$H$15, IF(AND($E31&gt;='Launch flag &amp; Life-Cycle Factor'!$F$14, $E31&lt;='Launch flag &amp; Life-Cycle Factor'!$E$14),'Launch flag &amp; Life-Cycle Factor'!$H$14,IF(AND($E31&gt;='Launch flag &amp; Life-Cycle Factor'!$F$13, $E31&lt;='Launch flag &amp; Life-Cycle Factor'!$E$13),'Launch flag &amp; Life-Cycle Factor'!$H$13, IF(AND($E31&gt;='Launch flag &amp; Life-Cycle Factor'!$F$12, $E31&lt;='Launch flag &amp; Life-Cycle Factor'!$E$12),'Launch flag &amp; Life-Cycle Factor'!$H$12, IF(AND($E31&gt;='Launch flag &amp; Life-Cycle Factor'!$F$11, $E31&lt;='Launch flag &amp; Life-Cycle Factor'!$E$11),'Launch flag &amp; Life-Cycle Factor'!$H$11, IF(AND($E31&gt;='Launch flag &amp; Life-Cycle Factor'!$F$10, $E31&lt;='Launch flag &amp; Life-Cycle Factor'!$E$10),'Launch flag &amp; Life-Cycle Factor'!$H$10, IF(AND($E31&gt;='Launch flag &amp; Life-Cycle Factor'!$F$9, $E31&lt;='Launch flag &amp; Life-Cycle Factor'!$E$9),'Launch flag &amp; Life-Cycle Factor'!$H$9, IF(AND($E31&gt;='Launch flag &amp; Life-Cycle Factor'!$F$8, $E31&lt;='Launch flag &amp; Life-Cycle Factor'!$E$8),'Launch flag &amp; Life-Cycle Factor'!$H$8, IF(AND($E31&gt;='Launch flag &amp; Life-Cycle Factor'!$F$7, $E31&lt;='Launch flag &amp; Life-Cycle Factor'!$E$7),'Launch flag &amp; Life-Cycle Factor'!$H$7, IF(AND($E31&gt;='Launch flag &amp; Life-Cycle Factor'!$F$6, $E31&lt;='Launch flag &amp; Life-Cycle Factor'!$E$6),'Launch flag &amp; Life-Cycle Factor'!$H$6, "-")))))))))))))))))))</f>
        <v>0.65</v>
      </c>
      <c r="Q31" s="655">
        <f>IF(AND($E31&gt;='Launch flag &amp; Life-Cycle Factor'!$F$24, $E31&lt;='Launch flag &amp; Life-Cycle Factor'!$E$24),'Launch flag &amp; Life-Cycle Factor'!$I$24, IF(AND($E31&gt;='Launch flag &amp; Life-Cycle Factor'!$F$23, $E31&lt;='Launch flag &amp; Life-Cycle Factor'!$E$23),'Launch flag &amp; Life-Cycle Factor'!$I$23, IF(AND($E31&gt;='Launch flag &amp; Life-Cycle Factor'!$F$22, $E31&lt;='Launch flag &amp; Life-Cycle Factor'!$E$22),'Launch flag &amp; Life-Cycle Factor'!$I$22, IF(AND($E31&gt;='Launch flag &amp; Life-Cycle Factor'!$F$21, $E31&lt;='Launch flag &amp; Life-Cycle Factor'!$E$21),'Launch flag &amp; Life-Cycle Factor'!$I$21, IF(AND($E31&gt;='Launch flag &amp; Life-Cycle Factor'!$F$20, $E31&lt;='Launch flag &amp; Life-Cycle Factor'!$E$20),'Launch flag &amp; Life-Cycle Factor'!$I$20, IF(AND($E31&gt;='Launch flag &amp; Life-Cycle Factor'!$F$19, $E31&lt;='Launch flag &amp; Life-Cycle Factor'!$E$19),'Launch flag &amp; Life-Cycle Factor'!$I$19, IF(AND($E31&gt;='Launch flag &amp; Life-Cycle Factor'!$F$18, $E31&lt;='Launch flag &amp; Life-Cycle Factor'!$E$18),'Launch flag &amp; Life-Cycle Factor'!$I$18, IF(AND($E31&gt;='Launch flag &amp; Life-Cycle Factor'!$F$17, $E31&lt;='Launch flag &amp; Life-Cycle Factor'!$E$17),'Launch flag &amp; Life-Cycle Factor'!$I$17, IF(AND($E31&gt;='Launch flag &amp; Life-Cycle Factor'!$F$16, $E31&lt;='Launch flag &amp; Life-Cycle Factor'!$E$16),'Launch flag &amp; Life-Cycle Factor'!$I$16,IF(AND($E31&gt;='Launch flag &amp; Life-Cycle Factor'!$F$15, $E31&lt;='Launch flag &amp; Life-Cycle Factor'!$E$15),'Launch flag &amp; Life-Cycle Factor'!$I$15, IF(AND($E31&gt;='Launch flag &amp; Life-Cycle Factor'!$F$14, $E31&lt;='Launch flag &amp; Life-Cycle Factor'!$E$14),'Launch flag &amp; Life-Cycle Factor'!$I$14,IF(AND($E31&gt;='Launch flag &amp; Life-Cycle Factor'!$F$13, $E31&lt;='Launch flag &amp; Life-Cycle Factor'!$E$13),'Launch flag &amp; Life-Cycle Factor'!$I$13, IF(AND($E31&gt;='Launch flag &amp; Life-Cycle Factor'!$F$12, $E31&lt;='Launch flag &amp; Life-Cycle Factor'!$E$12),'Launch flag &amp; Life-Cycle Factor'!$I$12, IF(AND($E31&gt;='Launch flag &amp; Life-Cycle Factor'!$F$11, $E31&lt;='Launch flag &amp; Life-Cycle Factor'!$E$11),'Launch flag &amp; Life-Cycle Factor'!$I$11, IF(AND($E31&gt;='Launch flag &amp; Life-Cycle Factor'!$F$10, $E31&lt;='Launch flag &amp; Life-Cycle Factor'!$E$10),'Launch flag &amp; Life-Cycle Factor'!$I$10, IF(AND($E31&gt;='Launch flag &amp; Life-Cycle Factor'!$F$9, $E31&lt;='Launch flag &amp; Life-Cycle Factor'!$E$9),'Launch flag &amp; Life-Cycle Factor'!$I$9, IF(AND($E31&gt;='Launch flag &amp; Life-Cycle Factor'!$F$8, $E31&lt;='Launch flag &amp; Life-Cycle Factor'!$E$8),'Launch flag &amp; Life-Cycle Factor'!$I$8, IF(AND($E31&gt;='Launch flag &amp; Life-Cycle Factor'!$F$7, $E31&lt;='Launch flag &amp; Life-Cycle Factor'!$E$7),'Launch flag &amp; Life-Cycle Factor'!$I$7, IF(AND($E31&gt;='Launch flag &amp; Life-Cycle Factor'!$F$6, $E31&lt;='Launch flag &amp; Life-Cycle Factor'!$E$6),'Launch flag &amp; Life-Cycle Factor'!$I$6, "-")))))))))))))))))))</f>
        <v>0.35</v>
      </c>
      <c r="R31" s="662">
        <f t="shared" si="0"/>
        <v>126.28966981165104</v>
      </c>
      <c r="S31" s="663">
        <f t="shared" si="1"/>
        <v>66.382429904486443</v>
      </c>
      <c r="T31" s="242">
        <f t="shared" si="2"/>
        <v>126.28966981165104</v>
      </c>
      <c r="U31" s="243">
        <f t="shared" si="3"/>
        <v>66.382429904486443</v>
      </c>
      <c r="V31" s="837">
        <f t="shared" si="4"/>
        <v>192.6720997161375</v>
      </c>
      <c r="W31" s="838">
        <f t="shared" si="5"/>
        <v>192.6720997161375</v>
      </c>
      <c r="X31" s="672"/>
    </row>
    <row r="32" spans="2:24" x14ac:dyDescent="0.35">
      <c r="B32" s="186" t="s">
        <v>43</v>
      </c>
      <c r="C32" s="192" t="s">
        <v>177</v>
      </c>
      <c r="D32" s="206" t="str">
        <f>IF(AND($E32&gt;='Launch flag &amp; Life-Cycle Factor'!$F$24, $E32&lt;='Launch flag &amp; Life-Cycle Factor'!$E$24),'Launch flag &amp; Life-Cycle Factor'!$B$24, IF(AND($E32&gt;='Launch flag &amp; Life-Cycle Factor'!$F$23, $E32&lt;='Launch flag &amp; Life-Cycle Factor'!$E$23),'Launch flag &amp; Life-Cycle Factor'!$B$23, IF(AND($E32&gt;='Launch flag &amp; Life-Cycle Factor'!$F$22, $E32&lt;='Launch flag &amp; Life-Cycle Factor'!$E$22),'Launch flag &amp; Life-Cycle Factor'!$B$22, IF(AND($E32&gt;='Launch flag &amp; Life-Cycle Factor'!$F$21, $E32&lt;='Launch flag &amp; Life-Cycle Factor'!$E$21),'Launch flag &amp; Life-Cycle Factor'!$B$21, IF(AND($E32&gt;='Launch flag &amp; Life-Cycle Factor'!$F$20, $E32&lt;='Launch flag &amp; Life-Cycle Factor'!$E$20),'Launch flag &amp; Life-Cycle Factor'!$B$20, IF(AND($E32&gt;='Launch flag &amp; Life-Cycle Factor'!$F$19, $E32&lt;='Launch flag &amp; Life-Cycle Factor'!$E$19),'Launch flag &amp; Life-Cycle Factor'!$B$19, IF(AND($E32&gt;='Launch flag &amp; Life-Cycle Factor'!$F$18, $E32&lt;='Launch flag &amp; Life-Cycle Factor'!$E$18),'Launch flag &amp; Life-Cycle Factor'!$B$18, IF(AND($E32&gt;='Launch flag &amp; Life-Cycle Factor'!$F$17, $E32&lt;='Launch flag &amp; Life-Cycle Factor'!$E$17),'Launch flag &amp; Life-Cycle Factor'!$B$17, IF(AND($E32&gt;='Launch flag &amp; Life-Cycle Factor'!$F$16, $E32&lt;='Launch flag &amp; Life-Cycle Factor'!$E$16),'Launch flag &amp; Life-Cycle Factor'!$B$16,IF(AND($E32&gt;='Launch flag &amp; Life-Cycle Factor'!$F$15, $E32&lt;='Launch flag &amp; Life-Cycle Factor'!$E$15),'Launch flag &amp; Life-Cycle Factor'!$B$15, IF(AND($E32&gt;='Launch flag &amp; Life-Cycle Factor'!$F$14, $E32&lt;='Launch flag &amp; Life-Cycle Factor'!$E$14),'Launch flag &amp; Life-Cycle Factor'!$B$14,IF(AND($E32&gt;='Launch flag &amp; Life-Cycle Factor'!$F$13, $E32&lt;='Launch flag &amp; Life-Cycle Factor'!$E$13),'Launch flag &amp; Life-Cycle Factor'!$B$13, IF(AND($E32&gt;='Launch flag &amp; Life-Cycle Factor'!$F$12, $E32&lt;='Launch flag &amp; Life-Cycle Factor'!$E$12),'Launch flag &amp; Life-Cycle Factor'!$B$12, IF(AND($E32&gt;='Launch flag &amp; Life-Cycle Factor'!$F$11, $E32&lt;='Launch flag &amp; Life-Cycle Factor'!$E$11),'Launch flag &amp; Life-Cycle Factor'!$B$11, IF(AND($E32&gt;='Launch flag &amp; Life-Cycle Factor'!$F$10, $E32&lt;='Launch flag &amp; Life-Cycle Factor'!$E$10),'Launch flag &amp; Life-Cycle Factor'!$B$10, IF(AND($E32&gt;='Launch flag &amp; Life-Cycle Factor'!$F$9, $E32&lt;='Launch flag &amp; Life-Cycle Factor'!$E$9),'Launch flag &amp; Life-Cycle Factor'!$B$9, IF(AND($E32&gt;='Launch flag &amp; Life-Cycle Factor'!$F$8, $E32&lt;='Launch flag &amp; Life-Cycle Factor'!$E$8),'Launch flag &amp; Life-Cycle Factor'!$B$8, IF(AND($E32&gt;='Launch flag &amp; Life-Cycle Factor'!$F$7, $E32&lt;='Launch flag &amp; Life-Cycle Factor'!$E$7),'Launch flag &amp; Life-Cycle Factor'!$B$7, IF(AND($E32&gt;='Launch flag &amp; Life-Cycle Factor'!$F$6, $E32&lt;='Launch flag &amp; Life-Cycle Factor'!$E$6),'Launch flag &amp; Life-Cycle Factor'!$B$6, "-")))))))))))))))))))</f>
        <v>Established</v>
      </c>
      <c r="E32" s="219">
        <f>INDEX('NPS with launch Dates '!$J$6:$J$59,MATCH('2.  Sales Data Key &amp; Key-Lyn'!$C32,'NPS with launch Dates '!$I$6:$I$59,0))</f>
        <v>44531</v>
      </c>
      <c r="F32" s="197">
        <f>INDEX('Raw Sales Forecasting Data'!$D$11:$H$126,MATCH('2.  Sales Data Key &amp; Key-Lyn'!$C32,'Raw Sales Forecasting Data'!$C$11:$C$126,0),MATCH('2.  Sales Data Key &amp; Key-Lyn'!F$6,'Raw Sales Forecasting Data'!$D$10:$H$10,0))</f>
        <v>188.36372531330261</v>
      </c>
      <c r="G32" s="198">
        <f>INDEX('Raw Sales Forecasting Data'!$D$11:$H$126,MATCH('2.  Sales Data Key &amp; Key-Lyn'!$C32,'Raw Sales Forecasting Data'!$C$11:$C$126,0),MATCH('2.  Sales Data Key &amp; Key-Lyn'!G$6,'Raw Sales Forecasting Data'!$D$10:$H$10,0))</f>
        <v>245.61216297199385</v>
      </c>
      <c r="H32" s="198">
        <f>INDEX('Raw Sales Forecasting Data'!$D$11:$H$126,MATCH('2.  Sales Data Key &amp; Key-Lyn'!$C32,'Raw Sales Forecasting Data'!$C$11:$C$126,0),MATCH('2.  Sales Data Key &amp; Key-Lyn'!H$6,'Raw Sales Forecasting Data'!$D$10:$H$10,0))</f>
        <v>280.57169425453725</v>
      </c>
      <c r="I32" s="198">
        <f>INDEX('Raw Sales Forecasting Data'!$D$11:$H$126,MATCH('2.  Sales Data Key &amp; Key-Lyn'!$C32,'Raw Sales Forecasting Data'!$C$11:$C$126,0),MATCH('2.  Sales Data Key &amp; Key-Lyn'!I$6,'Raw Sales Forecasting Data'!$D$10:$H$10,0))</f>
        <v>333.92381462360771</v>
      </c>
      <c r="J32" s="199">
        <f>INDEX('Raw Sales Forecasting Data'!$D$11:$H$126,MATCH('2.  Sales Data Key &amp; Key-Lyn'!$C32,'Raw Sales Forecasting Data'!$C$11:$C$126,0),MATCH('2.  Sales Data Key &amp; Key-Lyn'!J$6,'Raw Sales Forecasting Data'!$D$10:$H$10,0))</f>
        <v>355.64108905239283</v>
      </c>
      <c r="K32" s="203">
        <f>INDEX('Raw Sales Forecasting Data'!$J$11:$N$126,MATCH('2.  Sales Data Key &amp; Key-Lyn'!$C32,'Raw Sales Forecasting Data'!$C$11:$C$126,0),MATCH('2.  Sales Data Key &amp; Key-Lyn'!K$6,'Raw Sales Forecasting Data'!$J$10:$N$10,0))</f>
        <v>188.36372531330261</v>
      </c>
      <c r="L32" s="198">
        <f>INDEX('Raw Sales Forecasting Data'!$J$11:$N$126,MATCH('2.  Sales Data Key &amp; Key-Lyn'!$C32,'Raw Sales Forecasting Data'!$C$11:$C$126,0),MATCH('2.  Sales Data Key &amp; Key-Lyn'!L$6,'Raw Sales Forecasting Data'!$J$10:$N$10,0))</f>
        <v>245.61216297199385</v>
      </c>
      <c r="M32" s="198">
        <f>INDEX('Raw Sales Forecasting Data'!$J$11:$N$126,MATCH('2.  Sales Data Key &amp; Key-Lyn'!$C32,'Raw Sales Forecasting Data'!$C$11:$C$126,0),MATCH('2.  Sales Data Key &amp; Key-Lyn'!M$6,'Raw Sales Forecasting Data'!$J$10:$N$10,0))</f>
        <v>280.57169425453725</v>
      </c>
      <c r="N32" s="198">
        <f>INDEX('Raw Sales Forecasting Data'!$J$11:$N$126,MATCH('2.  Sales Data Key &amp; Key-Lyn'!$C32,'Raw Sales Forecasting Data'!$C$11:$C$126,0),MATCH('2.  Sales Data Key &amp; Key-Lyn'!N$6,'Raw Sales Forecasting Data'!$J$10:$N$10,0))</f>
        <v>333.92381462360771</v>
      </c>
      <c r="O32" s="238">
        <f>INDEX('Raw Sales Forecasting Data'!$J$11:$N$126,MATCH('2.  Sales Data Key &amp; Key-Lyn'!$C32,'Raw Sales Forecasting Data'!$C$11:$C$126,0),MATCH('2.  Sales Data Key &amp; Key-Lyn'!O$6,'Raw Sales Forecasting Data'!$J$10:$N$10,0))</f>
        <v>355.64108905239283</v>
      </c>
      <c r="P32" s="240">
        <f>IF(AND($E32&gt;='Launch flag &amp; Life-Cycle Factor'!$F$24, $E32&lt;='Launch flag &amp; Life-Cycle Factor'!$E$24),'Launch flag &amp; Life-Cycle Factor'!$H$24, IF(AND($E32&gt;='Launch flag &amp; Life-Cycle Factor'!$F$23, $E32&lt;='Launch flag &amp; Life-Cycle Factor'!$E$23),'Launch flag &amp; Life-Cycle Factor'!$H$23, IF(AND($E32&gt;='Launch flag &amp; Life-Cycle Factor'!$F$22, $E32&lt;='Launch flag &amp; Life-Cycle Factor'!$E$22),'Launch flag &amp; Life-Cycle Factor'!$H$22, IF(AND($E32&gt;='Launch flag &amp; Life-Cycle Factor'!$F$21, $E32&lt;='Launch flag &amp; Life-Cycle Factor'!$E$21),'Launch flag &amp; Life-Cycle Factor'!$H$21, IF(AND($E32&gt;='Launch flag &amp; Life-Cycle Factor'!$F$20, $E32&lt;='Launch flag &amp; Life-Cycle Factor'!$E$20),'Launch flag &amp; Life-Cycle Factor'!$H$20, IF(AND($E32&gt;='Launch flag &amp; Life-Cycle Factor'!$F$19, $E32&lt;='Launch flag &amp; Life-Cycle Factor'!$E$19),'Launch flag &amp; Life-Cycle Factor'!$H$19, IF(AND($E32&gt;='Launch flag &amp; Life-Cycle Factor'!$F$18, $E32&lt;='Launch flag &amp; Life-Cycle Factor'!$E$18),'Launch flag &amp; Life-Cycle Factor'!$H$18, IF(AND($E32&gt;='Launch flag &amp; Life-Cycle Factor'!$F$17, $E32&lt;='Launch flag &amp; Life-Cycle Factor'!$E$17),'Launch flag &amp; Life-Cycle Factor'!$H$17, IF(AND($E32&gt;='Launch flag &amp; Life-Cycle Factor'!$F$16, $E32&lt;='Launch flag &amp; Life-Cycle Factor'!$E$16),'Launch flag &amp; Life-Cycle Factor'!$H$16,IF(AND($E32&gt;='Launch flag &amp; Life-Cycle Factor'!$F$15, $E32&lt;='Launch flag &amp; Life-Cycle Factor'!$E$15),'Launch flag &amp; Life-Cycle Factor'!$H$15, IF(AND($E32&gt;='Launch flag &amp; Life-Cycle Factor'!$F$14, $E32&lt;='Launch flag &amp; Life-Cycle Factor'!$E$14),'Launch flag &amp; Life-Cycle Factor'!$H$14,IF(AND($E32&gt;='Launch flag &amp; Life-Cycle Factor'!$F$13, $E32&lt;='Launch flag &amp; Life-Cycle Factor'!$E$13),'Launch flag &amp; Life-Cycle Factor'!$H$13, IF(AND($E32&gt;='Launch flag &amp; Life-Cycle Factor'!$F$12, $E32&lt;='Launch flag &amp; Life-Cycle Factor'!$E$12),'Launch flag &amp; Life-Cycle Factor'!$H$12, IF(AND($E32&gt;='Launch flag &amp; Life-Cycle Factor'!$F$11, $E32&lt;='Launch flag &amp; Life-Cycle Factor'!$E$11),'Launch flag &amp; Life-Cycle Factor'!$H$11, IF(AND($E32&gt;='Launch flag &amp; Life-Cycle Factor'!$F$10, $E32&lt;='Launch flag &amp; Life-Cycle Factor'!$E$10),'Launch flag &amp; Life-Cycle Factor'!$H$10, IF(AND($E32&gt;='Launch flag &amp; Life-Cycle Factor'!$F$9, $E32&lt;='Launch flag &amp; Life-Cycle Factor'!$E$9),'Launch flag &amp; Life-Cycle Factor'!$H$9, IF(AND($E32&gt;='Launch flag &amp; Life-Cycle Factor'!$F$8, $E32&lt;='Launch flag &amp; Life-Cycle Factor'!$E$8),'Launch flag &amp; Life-Cycle Factor'!$H$8, IF(AND($E32&gt;='Launch flag &amp; Life-Cycle Factor'!$F$7, $E32&lt;='Launch flag &amp; Life-Cycle Factor'!$E$7),'Launch flag &amp; Life-Cycle Factor'!$H$7, IF(AND($E32&gt;='Launch flag &amp; Life-Cycle Factor'!$F$6, $E32&lt;='Launch flag &amp; Life-Cycle Factor'!$E$6),'Launch flag &amp; Life-Cycle Factor'!$H$6, "-")))))))))))))))))))</f>
        <v>0.65</v>
      </c>
      <c r="Q32" s="655">
        <f>IF(AND($E32&gt;='Launch flag &amp; Life-Cycle Factor'!$F$24, $E32&lt;='Launch flag &amp; Life-Cycle Factor'!$E$24),'Launch flag &amp; Life-Cycle Factor'!$I$24, IF(AND($E32&gt;='Launch flag &amp; Life-Cycle Factor'!$F$23, $E32&lt;='Launch flag &amp; Life-Cycle Factor'!$E$23),'Launch flag &amp; Life-Cycle Factor'!$I$23, IF(AND($E32&gt;='Launch flag &amp; Life-Cycle Factor'!$F$22, $E32&lt;='Launch flag &amp; Life-Cycle Factor'!$E$22),'Launch flag &amp; Life-Cycle Factor'!$I$22, IF(AND($E32&gt;='Launch flag &amp; Life-Cycle Factor'!$F$21, $E32&lt;='Launch flag &amp; Life-Cycle Factor'!$E$21),'Launch flag &amp; Life-Cycle Factor'!$I$21, IF(AND($E32&gt;='Launch flag &amp; Life-Cycle Factor'!$F$20, $E32&lt;='Launch flag &amp; Life-Cycle Factor'!$E$20),'Launch flag &amp; Life-Cycle Factor'!$I$20, IF(AND($E32&gt;='Launch flag &amp; Life-Cycle Factor'!$F$19, $E32&lt;='Launch flag &amp; Life-Cycle Factor'!$E$19),'Launch flag &amp; Life-Cycle Factor'!$I$19, IF(AND($E32&gt;='Launch flag &amp; Life-Cycle Factor'!$F$18, $E32&lt;='Launch flag &amp; Life-Cycle Factor'!$E$18),'Launch flag &amp; Life-Cycle Factor'!$I$18, IF(AND($E32&gt;='Launch flag &amp; Life-Cycle Factor'!$F$17, $E32&lt;='Launch flag &amp; Life-Cycle Factor'!$E$17),'Launch flag &amp; Life-Cycle Factor'!$I$17, IF(AND($E32&gt;='Launch flag &amp; Life-Cycle Factor'!$F$16, $E32&lt;='Launch flag &amp; Life-Cycle Factor'!$E$16),'Launch flag &amp; Life-Cycle Factor'!$I$16,IF(AND($E32&gt;='Launch flag &amp; Life-Cycle Factor'!$F$15, $E32&lt;='Launch flag &amp; Life-Cycle Factor'!$E$15),'Launch flag &amp; Life-Cycle Factor'!$I$15, IF(AND($E32&gt;='Launch flag &amp; Life-Cycle Factor'!$F$14, $E32&lt;='Launch flag &amp; Life-Cycle Factor'!$E$14),'Launch flag &amp; Life-Cycle Factor'!$I$14,IF(AND($E32&gt;='Launch flag &amp; Life-Cycle Factor'!$F$13, $E32&lt;='Launch flag &amp; Life-Cycle Factor'!$E$13),'Launch flag &amp; Life-Cycle Factor'!$I$13, IF(AND($E32&gt;='Launch flag &amp; Life-Cycle Factor'!$F$12, $E32&lt;='Launch flag &amp; Life-Cycle Factor'!$E$12),'Launch flag &amp; Life-Cycle Factor'!$I$12, IF(AND($E32&gt;='Launch flag &amp; Life-Cycle Factor'!$F$11, $E32&lt;='Launch flag &amp; Life-Cycle Factor'!$E$11),'Launch flag &amp; Life-Cycle Factor'!$I$11, IF(AND($E32&gt;='Launch flag &amp; Life-Cycle Factor'!$F$10, $E32&lt;='Launch flag &amp; Life-Cycle Factor'!$E$10),'Launch flag &amp; Life-Cycle Factor'!$I$10, IF(AND($E32&gt;='Launch flag &amp; Life-Cycle Factor'!$F$9, $E32&lt;='Launch flag &amp; Life-Cycle Factor'!$E$9),'Launch flag &amp; Life-Cycle Factor'!$I$9, IF(AND($E32&gt;='Launch flag &amp; Life-Cycle Factor'!$F$8, $E32&lt;='Launch flag &amp; Life-Cycle Factor'!$E$8),'Launch flag &amp; Life-Cycle Factor'!$I$8, IF(AND($E32&gt;='Launch flag &amp; Life-Cycle Factor'!$F$7, $E32&lt;='Launch flag &amp; Life-Cycle Factor'!$E$7),'Launch flag &amp; Life-Cycle Factor'!$I$7, IF(AND($E32&gt;='Launch flag &amp; Life-Cycle Factor'!$F$6, $E32&lt;='Launch flag &amp; Life-Cycle Factor'!$E$6),'Launch flag &amp; Life-Cycle Factor'!$I$6, "-")))))))))))))))))))</f>
        <v>0.35</v>
      </c>
      <c r="R32" s="662">
        <f t="shared" si="0"/>
        <v>159.647905931796</v>
      </c>
      <c r="S32" s="663">
        <f t="shared" si="1"/>
        <v>98.200092989088034</v>
      </c>
      <c r="T32" s="242">
        <f t="shared" si="2"/>
        <v>159.647905931796</v>
      </c>
      <c r="U32" s="243">
        <f t="shared" si="3"/>
        <v>98.200092989088034</v>
      </c>
      <c r="V32" s="837">
        <f t="shared" si="4"/>
        <v>257.84799892088404</v>
      </c>
      <c r="W32" s="838">
        <f t="shared" si="5"/>
        <v>257.84799892088404</v>
      </c>
      <c r="X32" s="672"/>
    </row>
    <row r="33" spans="2:24" x14ac:dyDescent="0.35">
      <c r="B33" s="186" t="s">
        <v>43</v>
      </c>
      <c r="C33" s="192" t="s">
        <v>181</v>
      </c>
      <c r="D33" s="206" t="str">
        <f>IF(AND($E33&gt;='Launch flag &amp; Life-Cycle Factor'!$F$24, $E33&lt;='Launch flag &amp; Life-Cycle Factor'!$E$24),'Launch flag &amp; Life-Cycle Factor'!$B$24, IF(AND($E33&gt;='Launch flag &amp; Life-Cycle Factor'!$F$23, $E33&lt;='Launch flag &amp; Life-Cycle Factor'!$E$23),'Launch flag &amp; Life-Cycle Factor'!$B$23, IF(AND($E33&gt;='Launch flag &amp; Life-Cycle Factor'!$F$22, $E33&lt;='Launch flag &amp; Life-Cycle Factor'!$E$22),'Launch flag &amp; Life-Cycle Factor'!$B$22, IF(AND($E33&gt;='Launch flag &amp; Life-Cycle Factor'!$F$21, $E33&lt;='Launch flag &amp; Life-Cycle Factor'!$E$21),'Launch flag &amp; Life-Cycle Factor'!$B$21, IF(AND($E33&gt;='Launch flag &amp; Life-Cycle Factor'!$F$20, $E33&lt;='Launch flag &amp; Life-Cycle Factor'!$E$20),'Launch flag &amp; Life-Cycle Factor'!$B$20, IF(AND($E33&gt;='Launch flag &amp; Life-Cycle Factor'!$F$19, $E33&lt;='Launch flag &amp; Life-Cycle Factor'!$E$19),'Launch flag &amp; Life-Cycle Factor'!$B$19, IF(AND($E33&gt;='Launch flag &amp; Life-Cycle Factor'!$F$18, $E33&lt;='Launch flag &amp; Life-Cycle Factor'!$E$18),'Launch flag &amp; Life-Cycle Factor'!$B$18, IF(AND($E33&gt;='Launch flag &amp; Life-Cycle Factor'!$F$17, $E33&lt;='Launch flag &amp; Life-Cycle Factor'!$E$17),'Launch flag &amp; Life-Cycle Factor'!$B$17, IF(AND($E33&gt;='Launch flag &amp; Life-Cycle Factor'!$F$16, $E33&lt;='Launch flag &amp; Life-Cycle Factor'!$E$16),'Launch flag &amp; Life-Cycle Factor'!$B$16,IF(AND($E33&gt;='Launch flag &amp; Life-Cycle Factor'!$F$15, $E33&lt;='Launch flag &amp; Life-Cycle Factor'!$E$15),'Launch flag &amp; Life-Cycle Factor'!$B$15, IF(AND($E33&gt;='Launch flag &amp; Life-Cycle Factor'!$F$14, $E33&lt;='Launch flag &amp; Life-Cycle Factor'!$E$14),'Launch flag &amp; Life-Cycle Factor'!$B$14,IF(AND($E33&gt;='Launch flag &amp; Life-Cycle Factor'!$F$13, $E33&lt;='Launch flag &amp; Life-Cycle Factor'!$E$13),'Launch flag &amp; Life-Cycle Factor'!$B$13, IF(AND($E33&gt;='Launch flag &amp; Life-Cycle Factor'!$F$12, $E33&lt;='Launch flag &amp; Life-Cycle Factor'!$E$12),'Launch flag &amp; Life-Cycle Factor'!$B$12, IF(AND($E33&gt;='Launch flag &amp; Life-Cycle Factor'!$F$11, $E33&lt;='Launch flag &amp; Life-Cycle Factor'!$E$11),'Launch flag &amp; Life-Cycle Factor'!$B$11, IF(AND($E33&gt;='Launch flag &amp; Life-Cycle Factor'!$F$10, $E33&lt;='Launch flag &amp; Life-Cycle Factor'!$E$10),'Launch flag &amp; Life-Cycle Factor'!$B$10, IF(AND($E33&gt;='Launch flag &amp; Life-Cycle Factor'!$F$9, $E33&lt;='Launch flag &amp; Life-Cycle Factor'!$E$9),'Launch flag &amp; Life-Cycle Factor'!$B$9, IF(AND($E33&gt;='Launch flag &amp; Life-Cycle Factor'!$F$8, $E33&lt;='Launch flag &amp; Life-Cycle Factor'!$E$8),'Launch flag &amp; Life-Cycle Factor'!$B$8, IF(AND($E33&gt;='Launch flag &amp; Life-Cycle Factor'!$F$7, $E33&lt;='Launch flag &amp; Life-Cycle Factor'!$E$7),'Launch flag &amp; Life-Cycle Factor'!$B$7, IF(AND($E33&gt;='Launch flag &amp; Life-Cycle Factor'!$F$6, $E33&lt;='Launch flag &amp; Life-Cycle Factor'!$E$6),'Launch flag &amp; Life-Cycle Factor'!$B$6, "-")))))))))))))))))))</f>
        <v>Later Life</v>
      </c>
      <c r="E33" s="219">
        <f>INDEX('NPS with launch Dates '!$J$6:$J$59,MATCH('2.  Sales Data Key &amp; Key-Lyn'!$C33,'NPS with launch Dates '!$I$6:$I$59,0))</f>
        <v>42005</v>
      </c>
      <c r="F33" s="197">
        <f>INDEX('Raw Sales Forecasting Data'!$D$11:$H$126,MATCH('2.  Sales Data Key &amp; Key-Lyn'!$C33,'Raw Sales Forecasting Data'!$C$11:$C$126,0),MATCH('2.  Sales Data Key &amp; Key-Lyn'!F$6,'Raw Sales Forecasting Data'!$D$10:$H$10,0))</f>
        <v>536.67129379836297</v>
      </c>
      <c r="G33" s="198">
        <f>INDEX('Raw Sales Forecasting Data'!$D$11:$H$126,MATCH('2.  Sales Data Key &amp; Key-Lyn'!$C33,'Raw Sales Forecasting Data'!$C$11:$C$126,0),MATCH('2.  Sales Data Key &amp; Key-Lyn'!G$6,'Raw Sales Forecasting Data'!$D$10:$H$10,0))</f>
        <v>512.08323777805685</v>
      </c>
      <c r="H33" s="198">
        <f>INDEX('Raw Sales Forecasting Data'!$D$11:$H$126,MATCH('2.  Sales Data Key &amp; Key-Lyn'!$C33,'Raw Sales Forecasting Data'!$C$11:$C$126,0),MATCH('2.  Sales Data Key &amp; Key-Lyn'!H$6,'Raw Sales Forecasting Data'!$D$10:$H$10,0))</f>
        <v>561.77286717332424</v>
      </c>
      <c r="I33" s="198">
        <f>INDEX('Raw Sales Forecasting Data'!$D$11:$H$126,MATCH('2.  Sales Data Key &amp; Key-Lyn'!$C33,'Raw Sales Forecasting Data'!$C$11:$C$126,0),MATCH('2.  Sales Data Key &amp; Key-Lyn'!I$6,'Raw Sales Forecasting Data'!$D$10:$H$10,0))</f>
        <v>581.24752727241753</v>
      </c>
      <c r="J33" s="199">
        <f>INDEX('Raw Sales Forecasting Data'!$D$11:$H$126,MATCH('2.  Sales Data Key &amp; Key-Lyn'!$C33,'Raw Sales Forecasting Data'!$C$11:$C$126,0),MATCH('2.  Sales Data Key &amp; Key-Lyn'!J$6,'Raw Sales Forecasting Data'!$D$10:$H$10,0))</f>
        <v>588.59579392437695</v>
      </c>
      <c r="K33" s="203">
        <f>INDEX('Raw Sales Forecasting Data'!$J$11:$N$126,MATCH('2.  Sales Data Key &amp; Key-Lyn'!$C33,'Raw Sales Forecasting Data'!$C$11:$C$126,0),MATCH('2.  Sales Data Key &amp; Key-Lyn'!K$6,'Raw Sales Forecasting Data'!$J$10:$N$10,0))</f>
        <v>536.67129379836297</v>
      </c>
      <c r="L33" s="198">
        <f>INDEX('Raw Sales Forecasting Data'!$J$11:$N$126,MATCH('2.  Sales Data Key &amp; Key-Lyn'!$C33,'Raw Sales Forecasting Data'!$C$11:$C$126,0),MATCH('2.  Sales Data Key &amp; Key-Lyn'!L$6,'Raw Sales Forecasting Data'!$J$10:$N$10,0))</f>
        <v>512.08323777805685</v>
      </c>
      <c r="M33" s="198">
        <f>INDEX('Raw Sales Forecasting Data'!$J$11:$N$126,MATCH('2.  Sales Data Key &amp; Key-Lyn'!$C33,'Raw Sales Forecasting Data'!$C$11:$C$126,0),MATCH('2.  Sales Data Key &amp; Key-Lyn'!M$6,'Raw Sales Forecasting Data'!$J$10:$N$10,0))</f>
        <v>561.77286717332424</v>
      </c>
      <c r="N33" s="198">
        <f>INDEX('Raw Sales Forecasting Data'!$J$11:$N$126,MATCH('2.  Sales Data Key &amp; Key-Lyn'!$C33,'Raw Sales Forecasting Data'!$C$11:$C$126,0),MATCH('2.  Sales Data Key &amp; Key-Lyn'!N$6,'Raw Sales Forecasting Data'!$J$10:$N$10,0))</f>
        <v>581.24752727241753</v>
      </c>
      <c r="O33" s="238">
        <f>INDEX('Raw Sales Forecasting Data'!$J$11:$N$126,MATCH('2.  Sales Data Key &amp; Key-Lyn'!$C33,'Raw Sales Forecasting Data'!$C$11:$C$126,0),MATCH('2.  Sales Data Key &amp; Key-Lyn'!O$6,'Raw Sales Forecasting Data'!$J$10:$N$10,0))</f>
        <v>588.59579392437695</v>
      </c>
      <c r="P33" s="240">
        <f>IF(AND($E33&gt;='Launch flag &amp; Life-Cycle Factor'!$F$24, $E33&lt;='Launch flag &amp; Life-Cycle Factor'!$E$24),'Launch flag &amp; Life-Cycle Factor'!$H$24, IF(AND($E33&gt;='Launch flag &amp; Life-Cycle Factor'!$F$23, $E33&lt;='Launch flag &amp; Life-Cycle Factor'!$E$23),'Launch flag &amp; Life-Cycle Factor'!$H$23, IF(AND($E33&gt;='Launch flag &amp; Life-Cycle Factor'!$F$22, $E33&lt;='Launch flag &amp; Life-Cycle Factor'!$E$22),'Launch flag &amp; Life-Cycle Factor'!$H$22, IF(AND($E33&gt;='Launch flag &amp; Life-Cycle Factor'!$F$21, $E33&lt;='Launch flag &amp; Life-Cycle Factor'!$E$21),'Launch flag &amp; Life-Cycle Factor'!$H$21, IF(AND($E33&gt;='Launch flag &amp; Life-Cycle Factor'!$F$20, $E33&lt;='Launch flag &amp; Life-Cycle Factor'!$E$20),'Launch flag &amp; Life-Cycle Factor'!$H$20, IF(AND($E33&gt;='Launch flag &amp; Life-Cycle Factor'!$F$19, $E33&lt;='Launch flag &amp; Life-Cycle Factor'!$E$19),'Launch flag &amp; Life-Cycle Factor'!$H$19, IF(AND($E33&gt;='Launch flag &amp; Life-Cycle Factor'!$F$18, $E33&lt;='Launch flag &amp; Life-Cycle Factor'!$E$18),'Launch flag &amp; Life-Cycle Factor'!$H$18, IF(AND($E33&gt;='Launch flag &amp; Life-Cycle Factor'!$F$17, $E33&lt;='Launch flag &amp; Life-Cycle Factor'!$E$17),'Launch flag &amp; Life-Cycle Factor'!$H$17, IF(AND($E33&gt;='Launch flag &amp; Life-Cycle Factor'!$F$16, $E33&lt;='Launch flag &amp; Life-Cycle Factor'!$E$16),'Launch flag &amp; Life-Cycle Factor'!$H$16,IF(AND($E33&gt;='Launch flag &amp; Life-Cycle Factor'!$F$15, $E33&lt;='Launch flag &amp; Life-Cycle Factor'!$E$15),'Launch flag &amp; Life-Cycle Factor'!$H$15, IF(AND($E33&gt;='Launch flag &amp; Life-Cycle Factor'!$F$14, $E33&lt;='Launch flag &amp; Life-Cycle Factor'!$E$14),'Launch flag &amp; Life-Cycle Factor'!$H$14,IF(AND($E33&gt;='Launch flag &amp; Life-Cycle Factor'!$F$13, $E33&lt;='Launch flag &amp; Life-Cycle Factor'!$E$13),'Launch flag &amp; Life-Cycle Factor'!$H$13, IF(AND($E33&gt;='Launch flag &amp; Life-Cycle Factor'!$F$12, $E33&lt;='Launch flag &amp; Life-Cycle Factor'!$E$12),'Launch flag &amp; Life-Cycle Factor'!$H$12, IF(AND($E33&gt;='Launch flag &amp; Life-Cycle Factor'!$F$11, $E33&lt;='Launch flag &amp; Life-Cycle Factor'!$E$11),'Launch flag &amp; Life-Cycle Factor'!$H$11, IF(AND($E33&gt;='Launch flag &amp; Life-Cycle Factor'!$F$10, $E33&lt;='Launch flag &amp; Life-Cycle Factor'!$E$10),'Launch flag &amp; Life-Cycle Factor'!$H$10, IF(AND($E33&gt;='Launch flag &amp; Life-Cycle Factor'!$F$9, $E33&lt;='Launch flag &amp; Life-Cycle Factor'!$E$9),'Launch flag &amp; Life-Cycle Factor'!$H$9, IF(AND($E33&gt;='Launch flag &amp; Life-Cycle Factor'!$F$8, $E33&lt;='Launch flag &amp; Life-Cycle Factor'!$E$8),'Launch flag &amp; Life-Cycle Factor'!$H$8, IF(AND($E33&gt;='Launch flag &amp; Life-Cycle Factor'!$F$7, $E33&lt;='Launch flag &amp; Life-Cycle Factor'!$E$7),'Launch flag &amp; Life-Cycle Factor'!$H$7, IF(AND($E33&gt;='Launch flag &amp; Life-Cycle Factor'!$F$6, $E33&lt;='Launch flag &amp; Life-Cycle Factor'!$E$6),'Launch flag &amp; Life-Cycle Factor'!$H$6, "-")))))))))))))))))))</f>
        <v>0.65</v>
      </c>
      <c r="Q33" s="655">
        <f>IF(AND($E33&gt;='Launch flag &amp; Life-Cycle Factor'!$F$24, $E33&lt;='Launch flag &amp; Life-Cycle Factor'!$E$24),'Launch flag &amp; Life-Cycle Factor'!$I$24, IF(AND($E33&gt;='Launch flag &amp; Life-Cycle Factor'!$F$23, $E33&lt;='Launch flag &amp; Life-Cycle Factor'!$E$23),'Launch flag &amp; Life-Cycle Factor'!$I$23, IF(AND($E33&gt;='Launch flag &amp; Life-Cycle Factor'!$F$22, $E33&lt;='Launch flag &amp; Life-Cycle Factor'!$E$22),'Launch flag &amp; Life-Cycle Factor'!$I$22, IF(AND($E33&gt;='Launch flag &amp; Life-Cycle Factor'!$F$21, $E33&lt;='Launch flag &amp; Life-Cycle Factor'!$E$21),'Launch flag &amp; Life-Cycle Factor'!$I$21, IF(AND($E33&gt;='Launch flag &amp; Life-Cycle Factor'!$F$20, $E33&lt;='Launch flag &amp; Life-Cycle Factor'!$E$20),'Launch flag &amp; Life-Cycle Factor'!$I$20, IF(AND($E33&gt;='Launch flag &amp; Life-Cycle Factor'!$F$19, $E33&lt;='Launch flag &amp; Life-Cycle Factor'!$E$19),'Launch flag &amp; Life-Cycle Factor'!$I$19, IF(AND($E33&gt;='Launch flag &amp; Life-Cycle Factor'!$F$18, $E33&lt;='Launch flag &amp; Life-Cycle Factor'!$E$18),'Launch flag &amp; Life-Cycle Factor'!$I$18, IF(AND($E33&gt;='Launch flag &amp; Life-Cycle Factor'!$F$17, $E33&lt;='Launch flag &amp; Life-Cycle Factor'!$E$17),'Launch flag &amp; Life-Cycle Factor'!$I$17, IF(AND($E33&gt;='Launch flag &amp; Life-Cycle Factor'!$F$16, $E33&lt;='Launch flag &amp; Life-Cycle Factor'!$E$16),'Launch flag &amp; Life-Cycle Factor'!$I$16,IF(AND($E33&gt;='Launch flag &amp; Life-Cycle Factor'!$F$15, $E33&lt;='Launch flag &amp; Life-Cycle Factor'!$E$15),'Launch flag &amp; Life-Cycle Factor'!$I$15, IF(AND($E33&gt;='Launch flag &amp; Life-Cycle Factor'!$F$14, $E33&lt;='Launch flag &amp; Life-Cycle Factor'!$E$14),'Launch flag &amp; Life-Cycle Factor'!$I$14,IF(AND($E33&gt;='Launch flag &amp; Life-Cycle Factor'!$F$13, $E33&lt;='Launch flag &amp; Life-Cycle Factor'!$E$13),'Launch flag &amp; Life-Cycle Factor'!$I$13, IF(AND($E33&gt;='Launch flag &amp; Life-Cycle Factor'!$F$12, $E33&lt;='Launch flag &amp; Life-Cycle Factor'!$E$12),'Launch flag &amp; Life-Cycle Factor'!$I$12, IF(AND($E33&gt;='Launch flag &amp; Life-Cycle Factor'!$F$11, $E33&lt;='Launch flag &amp; Life-Cycle Factor'!$E$11),'Launch flag &amp; Life-Cycle Factor'!$I$11, IF(AND($E33&gt;='Launch flag &amp; Life-Cycle Factor'!$F$10, $E33&lt;='Launch flag &amp; Life-Cycle Factor'!$E$10),'Launch flag &amp; Life-Cycle Factor'!$I$10, IF(AND($E33&gt;='Launch flag &amp; Life-Cycle Factor'!$F$9, $E33&lt;='Launch flag &amp; Life-Cycle Factor'!$E$9),'Launch flag &amp; Life-Cycle Factor'!$I$9, IF(AND($E33&gt;='Launch flag &amp; Life-Cycle Factor'!$F$8, $E33&lt;='Launch flag &amp; Life-Cycle Factor'!$E$8),'Launch flag &amp; Life-Cycle Factor'!$I$8, IF(AND($E33&gt;='Launch flag &amp; Life-Cycle Factor'!$F$7, $E33&lt;='Launch flag &amp; Life-Cycle Factor'!$E$7),'Launch flag &amp; Life-Cycle Factor'!$I$7, IF(AND($E33&gt;='Launch flag &amp; Life-Cycle Factor'!$F$6, $E33&lt;='Launch flag &amp; Life-Cycle Factor'!$E$6),'Launch flag &amp; Life-Cycle Factor'!$I$6, "-")))))))))))))))))))</f>
        <v>0.35</v>
      </c>
      <c r="R33" s="662">
        <f t="shared" si="0"/>
        <v>332.85410455573697</v>
      </c>
      <c r="S33" s="663">
        <f t="shared" si="1"/>
        <v>196.62050351066347</v>
      </c>
      <c r="T33" s="242">
        <f t="shared" si="2"/>
        <v>332.85410455573697</v>
      </c>
      <c r="U33" s="243">
        <f t="shared" si="3"/>
        <v>196.62050351066347</v>
      </c>
      <c r="V33" s="837">
        <f t="shared" si="4"/>
        <v>529.47460806640038</v>
      </c>
      <c r="W33" s="838">
        <f t="shared" si="5"/>
        <v>529.47460806640038</v>
      </c>
      <c r="X33" s="672"/>
    </row>
    <row r="34" spans="2:24" x14ac:dyDescent="0.35">
      <c r="B34" s="569" t="s">
        <v>43</v>
      </c>
      <c r="C34" s="847" t="s">
        <v>184</v>
      </c>
      <c r="D34" s="848" t="str">
        <f>IF(AND($E34&gt;='Launch flag &amp; Life-Cycle Factor'!$F$24, $E34&lt;='Launch flag &amp; Life-Cycle Factor'!$E$24),'Launch flag &amp; Life-Cycle Factor'!$B$24, IF(AND($E34&gt;='Launch flag &amp; Life-Cycle Factor'!$F$23, $E34&lt;='Launch flag &amp; Life-Cycle Factor'!$E$23),'Launch flag &amp; Life-Cycle Factor'!$B$23, IF(AND($E34&gt;='Launch flag &amp; Life-Cycle Factor'!$F$22, $E34&lt;='Launch flag &amp; Life-Cycle Factor'!$E$22),'Launch flag &amp; Life-Cycle Factor'!$B$22, IF(AND($E34&gt;='Launch flag &amp; Life-Cycle Factor'!$F$21, $E34&lt;='Launch flag &amp; Life-Cycle Factor'!$E$21),'Launch flag &amp; Life-Cycle Factor'!$B$21, IF(AND($E34&gt;='Launch flag &amp; Life-Cycle Factor'!$F$20, $E34&lt;='Launch flag &amp; Life-Cycle Factor'!$E$20),'Launch flag &amp; Life-Cycle Factor'!$B$20, IF(AND($E34&gt;='Launch flag &amp; Life-Cycle Factor'!$F$19, $E34&lt;='Launch flag &amp; Life-Cycle Factor'!$E$19),'Launch flag &amp; Life-Cycle Factor'!$B$19, IF(AND($E34&gt;='Launch flag &amp; Life-Cycle Factor'!$F$18, $E34&lt;='Launch flag &amp; Life-Cycle Factor'!$E$18),'Launch flag &amp; Life-Cycle Factor'!$B$18, IF(AND($E34&gt;='Launch flag &amp; Life-Cycle Factor'!$F$17, $E34&lt;='Launch flag &amp; Life-Cycle Factor'!$E$17),'Launch flag &amp; Life-Cycle Factor'!$B$17, IF(AND($E34&gt;='Launch flag &amp; Life-Cycle Factor'!$F$16, $E34&lt;='Launch flag &amp; Life-Cycle Factor'!$E$16),'Launch flag &amp; Life-Cycle Factor'!$B$16,IF(AND($E34&gt;='Launch flag &amp; Life-Cycle Factor'!$F$15, $E34&lt;='Launch flag &amp; Life-Cycle Factor'!$E$15),'Launch flag &amp; Life-Cycle Factor'!$B$15, IF(AND($E34&gt;='Launch flag &amp; Life-Cycle Factor'!$F$14, $E34&lt;='Launch flag &amp; Life-Cycle Factor'!$E$14),'Launch flag &amp; Life-Cycle Factor'!$B$14,IF(AND($E34&gt;='Launch flag &amp; Life-Cycle Factor'!$F$13, $E34&lt;='Launch flag &amp; Life-Cycle Factor'!$E$13),'Launch flag &amp; Life-Cycle Factor'!$B$13, IF(AND($E34&gt;='Launch flag &amp; Life-Cycle Factor'!$F$12, $E34&lt;='Launch flag &amp; Life-Cycle Factor'!$E$12),'Launch flag &amp; Life-Cycle Factor'!$B$12, IF(AND($E34&gt;='Launch flag &amp; Life-Cycle Factor'!$F$11, $E34&lt;='Launch flag &amp; Life-Cycle Factor'!$E$11),'Launch flag &amp; Life-Cycle Factor'!$B$11, IF(AND($E34&gt;='Launch flag &amp; Life-Cycle Factor'!$F$10, $E34&lt;='Launch flag &amp; Life-Cycle Factor'!$E$10),'Launch flag &amp; Life-Cycle Factor'!$B$10, IF(AND($E34&gt;='Launch flag &amp; Life-Cycle Factor'!$F$9, $E34&lt;='Launch flag &amp; Life-Cycle Factor'!$E$9),'Launch flag &amp; Life-Cycle Factor'!$B$9, IF(AND($E34&gt;='Launch flag &amp; Life-Cycle Factor'!$F$8, $E34&lt;='Launch flag &amp; Life-Cycle Factor'!$E$8),'Launch flag &amp; Life-Cycle Factor'!$B$8, IF(AND($E34&gt;='Launch flag &amp; Life-Cycle Factor'!$F$7, $E34&lt;='Launch flag &amp; Life-Cycle Factor'!$E$7),'Launch flag &amp; Life-Cycle Factor'!$B$7, IF(AND($E34&gt;='Launch flag &amp; Life-Cycle Factor'!$F$6, $E34&lt;='Launch flag &amp; Life-Cycle Factor'!$E$6),'Launch flag &amp; Life-Cycle Factor'!$B$6, "-")))))))))))))))))))</f>
        <v>Later Life</v>
      </c>
      <c r="E34" s="849">
        <f>INDEX('NPS with launch Dates '!$J$6:$J$59,MATCH('2.  Sales Data Key &amp; Key-Lyn'!$C34,'NPS with launch Dates '!$I$6:$I$59,0))</f>
        <v>42005</v>
      </c>
      <c r="F34" s="850">
        <f>INDEX('Raw Sales Forecasting Data'!$D$11:$H$126,MATCH('2.  Sales Data Key &amp; Key-Lyn'!$C34,'Raw Sales Forecasting Data'!$C$11:$C$126,0),MATCH('2.  Sales Data Key &amp; Key-Lyn'!F$6,'Raw Sales Forecasting Data'!$D$10:$H$10,0))</f>
        <v>0</v>
      </c>
      <c r="G34" s="851">
        <f>INDEX('Raw Sales Forecasting Data'!$D$11:$H$126,MATCH('2.  Sales Data Key &amp; Key-Lyn'!$C34,'Raw Sales Forecasting Data'!$C$11:$C$126,0),MATCH('2.  Sales Data Key &amp; Key-Lyn'!G$6,'Raw Sales Forecasting Data'!$D$10:$H$10,0))</f>
        <v>0</v>
      </c>
      <c r="H34" s="851">
        <f>INDEX('Raw Sales Forecasting Data'!$D$11:$H$126,MATCH('2.  Sales Data Key &amp; Key-Lyn'!$C34,'Raw Sales Forecasting Data'!$C$11:$C$126,0),MATCH('2.  Sales Data Key &amp; Key-Lyn'!H$6,'Raw Sales Forecasting Data'!$D$10:$H$10,0))</f>
        <v>0</v>
      </c>
      <c r="I34" s="851">
        <f>INDEX('Raw Sales Forecasting Data'!$D$11:$H$126,MATCH('2.  Sales Data Key &amp; Key-Lyn'!$C34,'Raw Sales Forecasting Data'!$C$11:$C$126,0),MATCH('2.  Sales Data Key &amp; Key-Lyn'!I$6,'Raw Sales Forecasting Data'!$D$10:$H$10,0))</f>
        <v>0</v>
      </c>
      <c r="J34" s="852">
        <f>INDEX('Raw Sales Forecasting Data'!$D$11:$H$126,MATCH('2.  Sales Data Key &amp; Key-Lyn'!$C34,'Raw Sales Forecasting Data'!$C$11:$C$126,0),MATCH('2.  Sales Data Key &amp; Key-Lyn'!J$6,'Raw Sales Forecasting Data'!$D$10:$H$10,0))</f>
        <v>0</v>
      </c>
      <c r="K34" s="853">
        <f>INDEX('Raw Sales Forecasting Data'!$J$11:$N$126,MATCH('2.  Sales Data Key &amp; Key-Lyn'!$C34,'Raw Sales Forecasting Data'!$C$11:$C$126,0),MATCH('2.  Sales Data Key &amp; Key-Lyn'!K$6,'Raw Sales Forecasting Data'!$J$10:$N$10,0))</f>
        <v>0</v>
      </c>
      <c r="L34" s="851">
        <f>INDEX('Raw Sales Forecasting Data'!$J$11:$N$126,MATCH('2.  Sales Data Key &amp; Key-Lyn'!$C34,'Raw Sales Forecasting Data'!$C$11:$C$126,0),MATCH('2.  Sales Data Key &amp; Key-Lyn'!L$6,'Raw Sales Forecasting Data'!$J$10:$N$10,0))</f>
        <v>0</v>
      </c>
      <c r="M34" s="851">
        <f>INDEX('Raw Sales Forecasting Data'!$J$11:$N$126,MATCH('2.  Sales Data Key &amp; Key-Lyn'!$C34,'Raw Sales Forecasting Data'!$C$11:$C$126,0),MATCH('2.  Sales Data Key &amp; Key-Lyn'!M$6,'Raw Sales Forecasting Data'!$J$10:$N$10,0))</f>
        <v>0</v>
      </c>
      <c r="N34" s="851">
        <f>INDEX('Raw Sales Forecasting Data'!$J$11:$N$126,MATCH('2.  Sales Data Key &amp; Key-Lyn'!$C34,'Raw Sales Forecasting Data'!$C$11:$C$126,0),MATCH('2.  Sales Data Key &amp; Key-Lyn'!N$6,'Raw Sales Forecasting Data'!$J$10:$N$10,0))</f>
        <v>0</v>
      </c>
      <c r="O34" s="854">
        <f>INDEX('Raw Sales Forecasting Data'!$J$11:$N$126,MATCH('2.  Sales Data Key &amp; Key-Lyn'!$C34,'Raw Sales Forecasting Data'!$C$11:$C$126,0),MATCH('2.  Sales Data Key &amp; Key-Lyn'!O$6,'Raw Sales Forecasting Data'!$J$10:$N$10,0))</f>
        <v>0</v>
      </c>
      <c r="P34" s="855">
        <f>IF(AND($E34&gt;='Launch flag &amp; Life-Cycle Factor'!$F$24, $E34&lt;='Launch flag &amp; Life-Cycle Factor'!$E$24),'Launch flag &amp; Life-Cycle Factor'!$H$24, IF(AND($E34&gt;='Launch flag &amp; Life-Cycle Factor'!$F$23, $E34&lt;='Launch flag &amp; Life-Cycle Factor'!$E$23),'Launch flag &amp; Life-Cycle Factor'!$H$23, IF(AND($E34&gt;='Launch flag &amp; Life-Cycle Factor'!$F$22, $E34&lt;='Launch flag &amp; Life-Cycle Factor'!$E$22),'Launch flag &amp; Life-Cycle Factor'!$H$22, IF(AND($E34&gt;='Launch flag &amp; Life-Cycle Factor'!$F$21, $E34&lt;='Launch flag &amp; Life-Cycle Factor'!$E$21),'Launch flag &amp; Life-Cycle Factor'!$H$21, IF(AND($E34&gt;='Launch flag &amp; Life-Cycle Factor'!$F$20, $E34&lt;='Launch flag &amp; Life-Cycle Factor'!$E$20),'Launch flag &amp; Life-Cycle Factor'!$H$20, IF(AND($E34&gt;='Launch flag &amp; Life-Cycle Factor'!$F$19, $E34&lt;='Launch flag &amp; Life-Cycle Factor'!$E$19),'Launch flag &amp; Life-Cycle Factor'!$H$19, IF(AND($E34&gt;='Launch flag &amp; Life-Cycle Factor'!$F$18, $E34&lt;='Launch flag &amp; Life-Cycle Factor'!$E$18),'Launch flag &amp; Life-Cycle Factor'!$H$18, IF(AND($E34&gt;='Launch flag &amp; Life-Cycle Factor'!$F$17, $E34&lt;='Launch flag &amp; Life-Cycle Factor'!$E$17),'Launch flag &amp; Life-Cycle Factor'!$H$17, IF(AND($E34&gt;='Launch flag &amp; Life-Cycle Factor'!$F$16, $E34&lt;='Launch flag &amp; Life-Cycle Factor'!$E$16),'Launch flag &amp; Life-Cycle Factor'!$H$16,IF(AND($E34&gt;='Launch flag &amp; Life-Cycle Factor'!$F$15, $E34&lt;='Launch flag &amp; Life-Cycle Factor'!$E$15),'Launch flag &amp; Life-Cycle Factor'!$H$15, IF(AND($E34&gt;='Launch flag &amp; Life-Cycle Factor'!$F$14, $E34&lt;='Launch flag &amp; Life-Cycle Factor'!$E$14),'Launch flag &amp; Life-Cycle Factor'!$H$14,IF(AND($E34&gt;='Launch flag &amp; Life-Cycle Factor'!$F$13, $E34&lt;='Launch flag &amp; Life-Cycle Factor'!$E$13),'Launch flag &amp; Life-Cycle Factor'!$H$13, IF(AND($E34&gt;='Launch flag &amp; Life-Cycle Factor'!$F$12, $E34&lt;='Launch flag &amp; Life-Cycle Factor'!$E$12),'Launch flag &amp; Life-Cycle Factor'!$H$12, IF(AND($E34&gt;='Launch flag &amp; Life-Cycle Factor'!$F$11, $E34&lt;='Launch flag &amp; Life-Cycle Factor'!$E$11),'Launch flag &amp; Life-Cycle Factor'!$H$11, IF(AND($E34&gt;='Launch flag &amp; Life-Cycle Factor'!$F$10, $E34&lt;='Launch flag &amp; Life-Cycle Factor'!$E$10),'Launch flag &amp; Life-Cycle Factor'!$H$10, IF(AND($E34&gt;='Launch flag &amp; Life-Cycle Factor'!$F$9, $E34&lt;='Launch flag &amp; Life-Cycle Factor'!$E$9),'Launch flag &amp; Life-Cycle Factor'!$H$9, IF(AND($E34&gt;='Launch flag &amp; Life-Cycle Factor'!$F$8, $E34&lt;='Launch flag &amp; Life-Cycle Factor'!$E$8),'Launch flag &amp; Life-Cycle Factor'!$H$8, IF(AND($E34&gt;='Launch flag &amp; Life-Cycle Factor'!$F$7, $E34&lt;='Launch flag &amp; Life-Cycle Factor'!$E$7),'Launch flag &amp; Life-Cycle Factor'!$H$7, IF(AND($E34&gt;='Launch flag &amp; Life-Cycle Factor'!$F$6, $E34&lt;='Launch flag &amp; Life-Cycle Factor'!$E$6),'Launch flag &amp; Life-Cycle Factor'!$H$6, "-")))))))))))))))))))</f>
        <v>0.65</v>
      </c>
      <c r="Q34" s="856">
        <f>IF(AND($E34&gt;='Launch flag &amp; Life-Cycle Factor'!$F$24, $E34&lt;='Launch flag &amp; Life-Cycle Factor'!$E$24),'Launch flag &amp; Life-Cycle Factor'!$I$24, IF(AND($E34&gt;='Launch flag &amp; Life-Cycle Factor'!$F$23, $E34&lt;='Launch flag &amp; Life-Cycle Factor'!$E$23),'Launch flag &amp; Life-Cycle Factor'!$I$23, IF(AND($E34&gt;='Launch flag &amp; Life-Cycle Factor'!$F$22, $E34&lt;='Launch flag &amp; Life-Cycle Factor'!$E$22),'Launch flag &amp; Life-Cycle Factor'!$I$22, IF(AND($E34&gt;='Launch flag &amp; Life-Cycle Factor'!$F$21, $E34&lt;='Launch flag &amp; Life-Cycle Factor'!$E$21),'Launch flag &amp; Life-Cycle Factor'!$I$21, IF(AND($E34&gt;='Launch flag &amp; Life-Cycle Factor'!$F$20, $E34&lt;='Launch flag &amp; Life-Cycle Factor'!$E$20),'Launch flag &amp; Life-Cycle Factor'!$I$20, IF(AND($E34&gt;='Launch flag &amp; Life-Cycle Factor'!$F$19, $E34&lt;='Launch flag &amp; Life-Cycle Factor'!$E$19),'Launch flag &amp; Life-Cycle Factor'!$I$19, IF(AND($E34&gt;='Launch flag &amp; Life-Cycle Factor'!$F$18, $E34&lt;='Launch flag &amp; Life-Cycle Factor'!$E$18),'Launch flag &amp; Life-Cycle Factor'!$I$18, IF(AND($E34&gt;='Launch flag &amp; Life-Cycle Factor'!$F$17, $E34&lt;='Launch flag &amp; Life-Cycle Factor'!$E$17),'Launch flag &amp; Life-Cycle Factor'!$I$17, IF(AND($E34&gt;='Launch flag &amp; Life-Cycle Factor'!$F$16, $E34&lt;='Launch flag &amp; Life-Cycle Factor'!$E$16),'Launch flag &amp; Life-Cycle Factor'!$I$16,IF(AND($E34&gt;='Launch flag &amp; Life-Cycle Factor'!$F$15, $E34&lt;='Launch flag &amp; Life-Cycle Factor'!$E$15),'Launch flag &amp; Life-Cycle Factor'!$I$15, IF(AND($E34&gt;='Launch flag &amp; Life-Cycle Factor'!$F$14, $E34&lt;='Launch flag &amp; Life-Cycle Factor'!$E$14),'Launch flag &amp; Life-Cycle Factor'!$I$14,IF(AND($E34&gt;='Launch flag &amp; Life-Cycle Factor'!$F$13, $E34&lt;='Launch flag &amp; Life-Cycle Factor'!$E$13),'Launch flag &amp; Life-Cycle Factor'!$I$13, IF(AND($E34&gt;='Launch flag &amp; Life-Cycle Factor'!$F$12, $E34&lt;='Launch flag &amp; Life-Cycle Factor'!$E$12),'Launch flag &amp; Life-Cycle Factor'!$I$12, IF(AND($E34&gt;='Launch flag &amp; Life-Cycle Factor'!$F$11, $E34&lt;='Launch flag &amp; Life-Cycle Factor'!$E$11),'Launch flag &amp; Life-Cycle Factor'!$I$11, IF(AND($E34&gt;='Launch flag &amp; Life-Cycle Factor'!$F$10, $E34&lt;='Launch flag &amp; Life-Cycle Factor'!$E$10),'Launch flag &amp; Life-Cycle Factor'!$I$10, IF(AND($E34&gt;='Launch flag &amp; Life-Cycle Factor'!$F$9, $E34&lt;='Launch flag &amp; Life-Cycle Factor'!$E$9),'Launch flag &amp; Life-Cycle Factor'!$I$9, IF(AND($E34&gt;='Launch flag &amp; Life-Cycle Factor'!$F$8, $E34&lt;='Launch flag &amp; Life-Cycle Factor'!$E$8),'Launch flag &amp; Life-Cycle Factor'!$I$8, IF(AND($E34&gt;='Launch flag &amp; Life-Cycle Factor'!$F$7, $E34&lt;='Launch flag &amp; Life-Cycle Factor'!$E$7),'Launch flag &amp; Life-Cycle Factor'!$I$7, IF(AND($E34&gt;='Launch flag &amp; Life-Cycle Factor'!$F$6, $E34&lt;='Launch flag &amp; Life-Cycle Factor'!$E$6),'Launch flag &amp; Life-Cycle Factor'!$I$6, "-")))))))))))))))))))</f>
        <v>0.35</v>
      </c>
      <c r="R34" s="857">
        <f t="shared" si="0"/>
        <v>0</v>
      </c>
      <c r="S34" s="858">
        <f t="shared" si="1"/>
        <v>0</v>
      </c>
      <c r="T34" s="859">
        <f t="shared" si="2"/>
        <v>0</v>
      </c>
      <c r="U34" s="860">
        <f t="shared" si="3"/>
        <v>0</v>
      </c>
      <c r="V34" s="861">
        <f t="shared" si="4"/>
        <v>0</v>
      </c>
      <c r="W34" s="862">
        <f t="shared" si="5"/>
        <v>0</v>
      </c>
      <c r="X34" s="846" t="s">
        <v>1178</v>
      </c>
    </row>
    <row r="35" spans="2:24" x14ac:dyDescent="0.35">
      <c r="B35" s="186" t="s">
        <v>43</v>
      </c>
      <c r="C35" s="192" t="s">
        <v>188</v>
      </c>
      <c r="D35" s="206" t="str">
        <f>IF(AND($E35&gt;='Launch flag &amp; Life-Cycle Factor'!$F$24, $E35&lt;='Launch flag &amp; Life-Cycle Factor'!$E$24),'Launch flag &amp; Life-Cycle Factor'!$B$24, IF(AND($E35&gt;='Launch flag &amp; Life-Cycle Factor'!$F$23, $E35&lt;='Launch flag &amp; Life-Cycle Factor'!$E$23),'Launch flag &amp; Life-Cycle Factor'!$B$23, IF(AND($E35&gt;='Launch flag &amp; Life-Cycle Factor'!$F$22, $E35&lt;='Launch flag &amp; Life-Cycle Factor'!$E$22),'Launch flag &amp; Life-Cycle Factor'!$B$22, IF(AND($E35&gt;='Launch flag &amp; Life-Cycle Factor'!$F$21, $E35&lt;='Launch flag &amp; Life-Cycle Factor'!$E$21),'Launch flag &amp; Life-Cycle Factor'!$B$21, IF(AND($E35&gt;='Launch flag &amp; Life-Cycle Factor'!$F$20, $E35&lt;='Launch flag &amp; Life-Cycle Factor'!$E$20),'Launch flag &amp; Life-Cycle Factor'!$B$20, IF(AND($E35&gt;='Launch flag &amp; Life-Cycle Factor'!$F$19, $E35&lt;='Launch flag &amp; Life-Cycle Factor'!$E$19),'Launch flag &amp; Life-Cycle Factor'!$B$19, IF(AND($E35&gt;='Launch flag &amp; Life-Cycle Factor'!$F$18, $E35&lt;='Launch flag &amp; Life-Cycle Factor'!$E$18),'Launch flag &amp; Life-Cycle Factor'!$B$18, IF(AND($E35&gt;='Launch flag &amp; Life-Cycle Factor'!$F$17, $E35&lt;='Launch flag &amp; Life-Cycle Factor'!$E$17),'Launch flag &amp; Life-Cycle Factor'!$B$17, IF(AND($E35&gt;='Launch flag &amp; Life-Cycle Factor'!$F$16, $E35&lt;='Launch flag &amp; Life-Cycle Factor'!$E$16),'Launch flag &amp; Life-Cycle Factor'!$B$16,IF(AND($E35&gt;='Launch flag &amp; Life-Cycle Factor'!$F$15, $E35&lt;='Launch flag &amp; Life-Cycle Factor'!$E$15),'Launch flag &amp; Life-Cycle Factor'!$B$15, IF(AND($E35&gt;='Launch flag &amp; Life-Cycle Factor'!$F$14, $E35&lt;='Launch flag &amp; Life-Cycle Factor'!$E$14),'Launch flag &amp; Life-Cycle Factor'!$B$14,IF(AND($E35&gt;='Launch flag &amp; Life-Cycle Factor'!$F$13, $E35&lt;='Launch flag &amp; Life-Cycle Factor'!$E$13),'Launch flag &amp; Life-Cycle Factor'!$B$13, IF(AND($E35&gt;='Launch flag &amp; Life-Cycle Factor'!$F$12, $E35&lt;='Launch flag &amp; Life-Cycle Factor'!$E$12),'Launch flag &amp; Life-Cycle Factor'!$B$12, IF(AND($E35&gt;='Launch flag &amp; Life-Cycle Factor'!$F$11, $E35&lt;='Launch flag &amp; Life-Cycle Factor'!$E$11),'Launch flag &amp; Life-Cycle Factor'!$B$11, IF(AND($E35&gt;='Launch flag &amp; Life-Cycle Factor'!$F$10, $E35&lt;='Launch flag &amp; Life-Cycle Factor'!$E$10),'Launch flag &amp; Life-Cycle Factor'!$B$10, IF(AND($E35&gt;='Launch flag &amp; Life-Cycle Factor'!$F$9, $E35&lt;='Launch flag &amp; Life-Cycle Factor'!$E$9),'Launch flag &amp; Life-Cycle Factor'!$B$9, IF(AND($E35&gt;='Launch flag &amp; Life-Cycle Factor'!$F$8, $E35&lt;='Launch flag &amp; Life-Cycle Factor'!$E$8),'Launch flag &amp; Life-Cycle Factor'!$B$8, IF(AND($E35&gt;='Launch flag &amp; Life-Cycle Factor'!$F$7, $E35&lt;='Launch flag &amp; Life-Cycle Factor'!$E$7),'Launch flag &amp; Life-Cycle Factor'!$B$7, IF(AND($E35&gt;='Launch flag &amp; Life-Cycle Factor'!$F$6, $E35&lt;='Launch flag &amp; Life-Cycle Factor'!$E$6),'Launch flag &amp; Life-Cycle Factor'!$B$6, "-")))))))))))))))))))</f>
        <v>Mature</v>
      </c>
      <c r="E35" s="219">
        <f>INDEX('NPS with launch Dates '!$J$6:$J$59,MATCH('2.  Sales Data Key &amp; Key-Lyn'!$C35,'NPS with launch Dates '!$I$6:$I$59,0))</f>
        <v>43101</v>
      </c>
      <c r="F35" s="197">
        <f>INDEX('Raw Sales Forecasting Data'!$D$11:$H$126,MATCH('2.  Sales Data Key &amp; Key-Lyn'!$C35,'Raw Sales Forecasting Data'!$C$11:$C$126,0),MATCH('2.  Sales Data Key &amp; Key-Lyn'!F$6,'Raw Sales Forecasting Data'!$D$10:$H$10,0))</f>
        <v>75.306397329860701</v>
      </c>
      <c r="G35" s="198">
        <f>INDEX('Raw Sales Forecasting Data'!$D$11:$H$126,MATCH('2.  Sales Data Key &amp; Key-Lyn'!$C35,'Raw Sales Forecasting Data'!$C$11:$C$126,0),MATCH('2.  Sales Data Key &amp; Key-Lyn'!G$6,'Raw Sales Forecasting Data'!$D$10:$H$10,0))</f>
        <v>77.926332707334012</v>
      </c>
      <c r="H35" s="198">
        <f>INDEX('Raw Sales Forecasting Data'!$D$11:$H$126,MATCH('2.  Sales Data Key &amp; Key-Lyn'!$C35,'Raw Sales Forecasting Data'!$C$11:$C$126,0),MATCH('2.  Sales Data Key &amp; Key-Lyn'!H$6,'Raw Sales Forecasting Data'!$D$10:$H$10,0))</f>
        <v>78.941109109638717</v>
      </c>
      <c r="I35" s="198">
        <f>INDEX('Raw Sales Forecasting Data'!$D$11:$H$126,MATCH('2.  Sales Data Key &amp; Key-Lyn'!$C35,'Raw Sales Forecasting Data'!$C$11:$C$126,0),MATCH('2.  Sales Data Key &amp; Key-Lyn'!I$6,'Raw Sales Forecasting Data'!$D$10:$H$10,0))</f>
        <v>80.475453745847986</v>
      </c>
      <c r="J35" s="199">
        <f>INDEX('Raw Sales Forecasting Data'!$D$11:$H$126,MATCH('2.  Sales Data Key &amp; Key-Lyn'!$C35,'Raw Sales Forecasting Data'!$C$11:$C$126,0),MATCH('2.  Sales Data Key &amp; Key-Lyn'!J$6,'Raw Sales Forecasting Data'!$D$10:$H$10,0))</f>
        <v>82.355595839838699</v>
      </c>
      <c r="K35" s="203">
        <f>INDEX('Raw Sales Forecasting Data'!$J$11:$N$126,MATCH('2.  Sales Data Key &amp; Key-Lyn'!$C35,'Raw Sales Forecasting Data'!$C$11:$C$126,0),MATCH('2.  Sales Data Key &amp; Key-Lyn'!K$6,'Raw Sales Forecasting Data'!$J$10:$N$10,0))</f>
        <v>75.306397329860701</v>
      </c>
      <c r="L35" s="198">
        <f>INDEX('Raw Sales Forecasting Data'!$J$11:$N$126,MATCH('2.  Sales Data Key &amp; Key-Lyn'!$C35,'Raw Sales Forecasting Data'!$C$11:$C$126,0),MATCH('2.  Sales Data Key &amp; Key-Lyn'!L$6,'Raw Sales Forecasting Data'!$J$10:$N$10,0))</f>
        <v>77.926332707334012</v>
      </c>
      <c r="M35" s="198">
        <f>INDEX('Raw Sales Forecasting Data'!$J$11:$N$126,MATCH('2.  Sales Data Key &amp; Key-Lyn'!$C35,'Raw Sales Forecasting Data'!$C$11:$C$126,0),MATCH('2.  Sales Data Key &amp; Key-Lyn'!M$6,'Raw Sales Forecasting Data'!$J$10:$N$10,0))</f>
        <v>78.941109109638717</v>
      </c>
      <c r="N35" s="198">
        <f>INDEX('Raw Sales Forecasting Data'!$J$11:$N$126,MATCH('2.  Sales Data Key &amp; Key-Lyn'!$C35,'Raw Sales Forecasting Data'!$C$11:$C$126,0),MATCH('2.  Sales Data Key &amp; Key-Lyn'!N$6,'Raw Sales Forecasting Data'!$J$10:$N$10,0))</f>
        <v>80.475453745847986</v>
      </c>
      <c r="O35" s="238">
        <f>INDEX('Raw Sales Forecasting Data'!$J$11:$N$126,MATCH('2.  Sales Data Key &amp; Key-Lyn'!$C35,'Raw Sales Forecasting Data'!$C$11:$C$126,0),MATCH('2.  Sales Data Key &amp; Key-Lyn'!O$6,'Raw Sales Forecasting Data'!$J$10:$N$10,0))</f>
        <v>82.355595839838699</v>
      </c>
      <c r="P35" s="240">
        <f>IF(AND($E35&gt;='Launch flag &amp; Life-Cycle Factor'!$F$24, $E35&lt;='Launch flag &amp; Life-Cycle Factor'!$E$24),'Launch flag &amp; Life-Cycle Factor'!$H$24, IF(AND($E35&gt;='Launch flag &amp; Life-Cycle Factor'!$F$23, $E35&lt;='Launch flag &amp; Life-Cycle Factor'!$E$23),'Launch flag &amp; Life-Cycle Factor'!$H$23, IF(AND($E35&gt;='Launch flag &amp; Life-Cycle Factor'!$F$22, $E35&lt;='Launch flag &amp; Life-Cycle Factor'!$E$22),'Launch flag &amp; Life-Cycle Factor'!$H$22, IF(AND($E35&gt;='Launch flag &amp; Life-Cycle Factor'!$F$21, $E35&lt;='Launch flag &amp; Life-Cycle Factor'!$E$21),'Launch flag &amp; Life-Cycle Factor'!$H$21, IF(AND($E35&gt;='Launch flag &amp; Life-Cycle Factor'!$F$20, $E35&lt;='Launch flag &amp; Life-Cycle Factor'!$E$20),'Launch flag &amp; Life-Cycle Factor'!$H$20, IF(AND($E35&gt;='Launch flag &amp; Life-Cycle Factor'!$F$19, $E35&lt;='Launch flag &amp; Life-Cycle Factor'!$E$19),'Launch flag &amp; Life-Cycle Factor'!$H$19, IF(AND($E35&gt;='Launch flag &amp; Life-Cycle Factor'!$F$18, $E35&lt;='Launch flag &amp; Life-Cycle Factor'!$E$18),'Launch flag &amp; Life-Cycle Factor'!$H$18, IF(AND($E35&gt;='Launch flag &amp; Life-Cycle Factor'!$F$17, $E35&lt;='Launch flag &amp; Life-Cycle Factor'!$E$17),'Launch flag &amp; Life-Cycle Factor'!$H$17, IF(AND($E35&gt;='Launch flag &amp; Life-Cycle Factor'!$F$16, $E35&lt;='Launch flag &amp; Life-Cycle Factor'!$E$16),'Launch flag &amp; Life-Cycle Factor'!$H$16,IF(AND($E35&gt;='Launch flag &amp; Life-Cycle Factor'!$F$15, $E35&lt;='Launch flag &amp; Life-Cycle Factor'!$E$15),'Launch flag &amp; Life-Cycle Factor'!$H$15, IF(AND($E35&gt;='Launch flag &amp; Life-Cycle Factor'!$F$14, $E35&lt;='Launch flag &amp; Life-Cycle Factor'!$E$14),'Launch flag &amp; Life-Cycle Factor'!$H$14,IF(AND($E35&gt;='Launch flag &amp; Life-Cycle Factor'!$F$13, $E35&lt;='Launch flag &amp; Life-Cycle Factor'!$E$13),'Launch flag &amp; Life-Cycle Factor'!$H$13, IF(AND($E35&gt;='Launch flag &amp; Life-Cycle Factor'!$F$12, $E35&lt;='Launch flag &amp; Life-Cycle Factor'!$E$12),'Launch flag &amp; Life-Cycle Factor'!$H$12, IF(AND($E35&gt;='Launch flag &amp; Life-Cycle Factor'!$F$11, $E35&lt;='Launch flag &amp; Life-Cycle Factor'!$E$11),'Launch flag &amp; Life-Cycle Factor'!$H$11, IF(AND($E35&gt;='Launch flag &amp; Life-Cycle Factor'!$F$10, $E35&lt;='Launch flag &amp; Life-Cycle Factor'!$E$10),'Launch flag &amp; Life-Cycle Factor'!$H$10, IF(AND($E35&gt;='Launch flag &amp; Life-Cycle Factor'!$F$9, $E35&lt;='Launch flag &amp; Life-Cycle Factor'!$E$9),'Launch flag &amp; Life-Cycle Factor'!$H$9, IF(AND($E35&gt;='Launch flag &amp; Life-Cycle Factor'!$F$8, $E35&lt;='Launch flag &amp; Life-Cycle Factor'!$E$8),'Launch flag &amp; Life-Cycle Factor'!$H$8, IF(AND($E35&gt;='Launch flag &amp; Life-Cycle Factor'!$F$7, $E35&lt;='Launch flag &amp; Life-Cycle Factor'!$E$7),'Launch flag &amp; Life-Cycle Factor'!$H$7, IF(AND($E35&gt;='Launch flag &amp; Life-Cycle Factor'!$F$6, $E35&lt;='Launch flag &amp; Life-Cycle Factor'!$E$6),'Launch flag &amp; Life-Cycle Factor'!$H$6, "-")))))))))))))))))))</f>
        <v>0.65</v>
      </c>
      <c r="Q35" s="655">
        <f>IF(AND($E35&gt;='Launch flag &amp; Life-Cycle Factor'!$F$24, $E35&lt;='Launch flag &amp; Life-Cycle Factor'!$E$24),'Launch flag &amp; Life-Cycle Factor'!$I$24, IF(AND($E35&gt;='Launch flag &amp; Life-Cycle Factor'!$F$23, $E35&lt;='Launch flag &amp; Life-Cycle Factor'!$E$23),'Launch flag &amp; Life-Cycle Factor'!$I$23, IF(AND($E35&gt;='Launch flag &amp; Life-Cycle Factor'!$F$22, $E35&lt;='Launch flag &amp; Life-Cycle Factor'!$E$22),'Launch flag &amp; Life-Cycle Factor'!$I$22, IF(AND($E35&gt;='Launch flag &amp; Life-Cycle Factor'!$F$21, $E35&lt;='Launch flag &amp; Life-Cycle Factor'!$E$21),'Launch flag &amp; Life-Cycle Factor'!$I$21, IF(AND($E35&gt;='Launch flag &amp; Life-Cycle Factor'!$F$20, $E35&lt;='Launch flag &amp; Life-Cycle Factor'!$E$20),'Launch flag &amp; Life-Cycle Factor'!$I$20, IF(AND($E35&gt;='Launch flag &amp; Life-Cycle Factor'!$F$19, $E35&lt;='Launch flag &amp; Life-Cycle Factor'!$E$19),'Launch flag &amp; Life-Cycle Factor'!$I$19, IF(AND($E35&gt;='Launch flag &amp; Life-Cycle Factor'!$F$18, $E35&lt;='Launch flag &amp; Life-Cycle Factor'!$E$18),'Launch flag &amp; Life-Cycle Factor'!$I$18, IF(AND($E35&gt;='Launch flag &amp; Life-Cycle Factor'!$F$17, $E35&lt;='Launch flag &amp; Life-Cycle Factor'!$E$17),'Launch flag &amp; Life-Cycle Factor'!$I$17, IF(AND($E35&gt;='Launch flag &amp; Life-Cycle Factor'!$F$16, $E35&lt;='Launch flag &amp; Life-Cycle Factor'!$E$16),'Launch flag &amp; Life-Cycle Factor'!$I$16,IF(AND($E35&gt;='Launch flag &amp; Life-Cycle Factor'!$F$15, $E35&lt;='Launch flag &amp; Life-Cycle Factor'!$E$15),'Launch flag &amp; Life-Cycle Factor'!$I$15, IF(AND($E35&gt;='Launch flag &amp; Life-Cycle Factor'!$F$14, $E35&lt;='Launch flag &amp; Life-Cycle Factor'!$E$14),'Launch flag &amp; Life-Cycle Factor'!$I$14,IF(AND($E35&gt;='Launch flag &amp; Life-Cycle Factor'!$F$13, $E35&lt;='Launch flag &amp; Life-Cycle Factor'!$E$13),'Launch flag &amp; Life-Cycle Factor'!$I$13, IF(AND($E35&gt;='Launch flag &amp; Life-Cycle Factor'!$F$12, $E35&lt;='Launch flag &amp; Life-Cycle Factor'!$E$12),'Launch flag &amp; Life-Cycle Factor'!$I$12, IF(AND($E35&gt;='Launch flag &amp; Life-Cycle Factor'!$F$11, $E35&lt;='Launch flag &amp; Life-Cycle Factor'!$E$11),'Launch flag &amp; Life-Cycle Factor'!$I$11, IF(AND($E35&gt;='Launch flag &amp; Life-Cycle Factor'!$F$10, $E35&lt;='Launch flag &amp; Life-Cycle Factor'!$E$10),'Launch flag &amp; Life-Cycle Factor'!$I$10, IF(AND($E35&gt;='Launch flag &amp; Life-Cycle Factor'!$F$9, $E35&lt;='Launch flag &amp; Life-Cycle Factor'!$E$9),'Launch flag &amp; Life-Cycle Factor'!$I$9, IF(AND($E35&gt;='Launch flag &amp; Life-Cycle Factor'!$F$8, $E35&lt;='Launch flag &amp; Life-Cycle Factor'!$E$8),'Launch flag &amp; Life-Cycle Factor'!$I$8, IF(AND($E35&gt;='Launch flag &amp; Life-Cycle Factor'!$F$7, $E35&lt;='Launch flag &amp; Life-Cycle Factor'!$E$7),'Launch flag &amp; Life-Cycle Factor'!$I$7, IF(AND($E35&gt;='Launch flag &amp; Life-Cycle Factor'!$F$6, $E35&lt;='Launch flag &amp; Life-Cycle Factor'!$E$6),'Launch flag &amp; Life-Cycle Factor'!$I$6, "-")))))))))))))))))))</f>
        <v>0.35</v>
      </c>
      <c r="R35" s="662">
        <f t="shared" si="0"/>
        <v>50.652116259767112</v>
      </c>
      <c r="S35" s="663">
        <f t="shared" si="1"/>
        <v>27.62938818837355</v>
      </c>
      <c r="T35" s="242">
        <f t="shared" si="2"/>
        <v>50.652116259767112</v>
      </c>
      <c r="U35" s="243">
        <f t="shared" si="3"/>
        <v>27.62938818837355</v>
      </c>
      <c r="V35" s="837">
        <f t="shared" si="4"/>
        <v>78.281504448140666</v>
      </c>
      <c r="W35" s="838">
        <f t="shared" si="5"/>
        <v>78.281504448140666</v>
      </c>
      <c r="X35" s="672"/>
    </row>
    <row r="36" spans="2:24" x14ac:dyDescent="0.35">
      <c r="B36" s="186" t="s">
        <v>43</v>
      </c>
      <c r="C36" s="192" t="s">
        <v>192</v>
      </c>
      <c r="D36" s="206" t="str">
        <f>IF(AND($E36&gt;='Launch flag &amp; Life-Cycle Factor'!$F$24, $E36&lt;='Launch flag &amp; Life-Cycle Factor'!$E$24),'Launch flag &amp; Life-Cycle Factor'!$B$24, IF(AND($E36&gt;='Launch flag &amp; Life-Cycle Factor'!$F$23, $E36&lt;='Launch flag &amp; Life-Cycle Factor'!$E$23),'Launch flag &amp; Life-Cycle Factor'!$B$23, IF(AND($E36&gt;='Launch flag &amp; Life-Cycle Factor'!$F$22, $E36&lt;='Launch flag &amp; Life-Cycle Factor'!$E$22),'Launch flag &amp; Life-Cycle Factor'!$B$22, IF(AND($E36&gt;='Launch flag &amp; Life-Cycle Factor'!$F$21, $E36&lt;='Launch flag &amp; Life-Cycle Factor'!$E$21),'Launch flag &amp; Life-Cycle Factor'!$B$21, IF(AND($E36&gt;='Launch flag &amp; Life-Cycle Factor'!$F$20, $E36&lt;='Launch flag &amp; Life-Cycle Factor'!$E$20),'Launch flag &amp; Life-Cycle Factor'!$B$20, IF(AND($E36&gt;='Launch flag &amp; Life-Cycle Factor'!$F$19, $E36&lt;='Launch flag &amp; Life-Cycle Factor'!$E$19),'Launch flag &amp; Life-Cycle Factor'!$B$19, IF(AND($E36&gt;='Launch flag &amp; Life-Cycle Factor'!$F$18, $E36&lt;='Launch flag &amp; Life-Cycle Factor'!$E$18),'Launch flag &amp; Life-Cycle Factor'!$B$18, IF(AND($E36&gt;='Launch flag &amp; Life-Cycle Factor'!$F$17, $E36&lt;='Launch flag &amp; Life-Cycle Factor'!$E$17),'Launch flag &amp; Life-Cycle Factor'!$B$17, IF(AND($E36&gt;='Launch flag &amp; Life-Cycle Factor'!$F$16, $E36&lt;='Launch flag &amp; Life-Cycle Factor'!$E$16),'Launch flag &amp; Life-Cycle Factor'!$B$16,IF(AND($E36&gt;='Launch flag &amp; Life-Cycle Factor'!$F$15, $E36&lt;='Launch flag &amp; Life-Cycle Factor'!$E$15),'Launch flag &amp; Life-Cycle Factor'!$B$15, IF(AND($E36&gt;='Launch flag &amp; Life-Cycle Factor'!$F$14, $E36&lt;='Launch flag &amp; Life-Cycle Factor'!$E$14),'Launch flag &amp; Life-Cycle Factor'!$B$14,IF(AND($E36&gt;='Launch flag &amp; Life-Cycle Factor'!$F$13, $E36&lt;='Launch flag &amp; Life-Cycle Factor'!$E$13),'Launch flag &amp; Life-Cycle Factor'!$B$13, IF(AND($E36&gt;='Launch flag &amp; Life-Cycle Factor'!$F$12, $E36&lt;='Launch flag &amp; Life-Cycle Factor'!$E$12),'Launch flag &amp; Life-Cycle Factor'!$B$12, IF(AND($E36&gt;='Launch flag &amp; Life-Cycle Factor'!$F$11, $E36&lt;='Launch flag &amp; Life-Cycle Factor'!$E$11),'Launch flag &amp; Life-Cycle Factor'!$B$11, IF(AND($E36&gt;='Launch flag &amp; Life-Cycle Factor'!$F$10, $E36&lt;='Launch flag &amp; Life-Cycle Factor'!$E$10),'Launch flag &amp; Life-Cycle Factor'!$B$10, IF(AND($E36&gt;='Launch flag &amp; Life-Cycle Factor'!$F$9, $E36&lt;='Launch flag &amp; Life-Cycle Factor'!$E$9),'Launch flag &amp; Life-Cycle Factor'!$B$9, IF(AND($E36&gt;='Launch flag &amp; Life-Cycle Factor'!$F$8, $E36&lt;='Launch flag &amp; Life-Cycle Factor'!$E$8),'Launch flag &amp; Life-Cycle Factor'!$B$8, IF(AND($E36&gt;='Launch flag &amp; Life-Cycle Factor'!$F$7, $E36&lt;='Launch flag &amp; Life-Cycle Factor'!$E$7),'Launch flag &amp; Life-Cycle Factor'!$B$7, IF(AND($E36&gt;='Launch flag &amp; Life-Cycle Factor'!$F$6, $E36&lt;='Launch flag &amp; Life-Cycle Factor'!$E$6),'Launch flag &amp; Life-Cycle Factor'!$B$6, "-")))))))))))))))))))</f>
        <v>Planning Year</v>
      </c>
      <c r="E36" s="219">
        <f>INDEX('NPS with launch Dates '!$J$6:$J$59,MATCH('2.  Sales Data Key &amp; Key-Lyn'!$C36,'NPS with launch Dates '!$I$6:$I$59,0))</f>
        <v>45567</v>
      </c>
      <c r="F36" s="197">
        <f>INDEX('Raw Sales Forecasting Data'!$D$11:$H$126,MATCH('2.  Sales Data Key &amp; Key-Lyn'!$C36,'Raw Sales Forecasting Data'!$C$11:$C$126,0),MATCH('2.  Sales Data Key &amp; Key-Lyn'!F$6,'Raw Sales Forecasting Data'!$D$10:$H$10,0))</f>
        <v>0</v>
      </c>
      <c r="G36" s="198">
        <f>INDEX('Raw Sales Forecasting Data'!$D$11:$H$126,MATCH('2.  Sales Data Key &amp; Key-Lyn'!$C36,'Raw Sales Forecasting Data'!$C$11:$C$126,0),MATCH('2.  Sales Data Key &amp; Key-Lyn'!G$6,'Raw Sales Forecasting Data'!$D$10:$H$10,0))</f>
        <v>0.28072374346436202</v>
      </c>
      <c r="H36" s="198">
        <f>INDEX('Raw Sales Forecasting Data'!$D$11:$H$126,MATCH('2.  Sales Data Key &amp; Key-Lyn'!$C36,'Raw Sales Forecasting Data'!$C$11:$C$126,0),MATCH('2.  Sales Data Key &amp; Key-Lyn'!H$6,'Raw Sales Forecasting Data'!$D$10:$H$10,0))</f>
        <v>12.443416444829165</v>
      </c>
      <c r="I36" s="198">
        <f>INDEX('Raw Sales Forecasting Data'!$D$11:$H$126,MATCH('2.  Sales Data Key &amp; Key-Lyn'!$C36,'Raw Sales Forecasting Data'!$C$11:$C$126,0),MATCH('2.  Sales Data Key &amp; Key-Lyn'!I$6,'Raw Sales Forecasting Data'!$D$10:$H$10,0))</f>
        <v>24.221815299220442</v>
      </c>
      <c r="J36" s="199">
        <f>INDEX('Raw Sales Forecasting Data'!$D$11:$H$126,MATCH('2.  Sales Data Key &amp; Key-Lyn'!$C36,'Raw Sales Forecasting Data'!$C$11:$C$126,0),MATCH('2.  Sales Data Key &amp; Key-Lyn'!J$6,'Raw Sales Forecasting Data'!$D$10:$H$10,0))</f>
        <v>27.715609427253749</v>
      </c>
      <c r="K36" s="203">
        <f>INDEX('Raw Sales Forecasting Data'!$J$11:$N$126,MATCH('2.  Sales Data Key &amp; Key-Lyn'!$C36,'Raw Sales Forecasting Data'!$C$11:$C$126,0),MATCH('2.  Sales Data Key &amp; Key-Lyn'!K$6,'Raw Sales Forecasting Data'!$J$10:$N$10,0))</f>
        <v>0</v>
      </c>
      <c r="L36" s="198">
        <f>INDEX('Raw Sales Forecasting Data'!$J$11:$N$126,MATCH('2.  Sales Data Key &amp; Key-Lyn'!$C36,'Raw Sales Forecasting Data'!$C$11:$C$126,0),MATCH('2.  Sales Data Key &amp; Key-Lyn'!L$6,'Raw Sales Forecasting Data'!$J$10:$N$10,0))</f>
        <v>0.28072374346436202</v>
      </c>
      <c r="M36" s="198">
        <f>INDEX('Raw Sales Forecasting Data'!$J$11:$N$126,MATCH('2.  Sales Data Key &amp; Key-Lyn'!$C36,'Raw Sales Forecasting Data'!$C$11:$C$126,0),MATCH('2.  Sales Data Key &amp; Key-Lyn'!M$6,'Raw Sales Forecasting Data'!$J$10:$N$10,0))</f>
        <v>12.443416444829165</v>
      </c>
      <c r="N36" s="198">
        <f>INDEX('Raw Sales Forecasting Data'!$J$11:$N$126,MATCH('2.  Sales Data Key &amp; Key-Lyn'!$C36,'Raw Sales Forecasting Data'!$C$11:$C$126,0),MATCH('2.  Sales Data Key &amp; Key-Lyn'!N$6,'Raw Sales Forecasting Data'!$J$10:$N$10,0))</f>
        <v>24.221815299220442</v>
      </c>
      <c r="O36" s="238">
        <f>INDEX('Raw Sales Forecasting Data'!$J$11:$N$126,MATCH('2.  Sales Data Key &amp; Key-Lyn'!$C36,'Raw Sales Forecasting Data'!$C$11:$C$126,0),MATCH('2.  Sales Data Key &amp; Key-Lyn'!O$6,'Raw Sales Forecasting Data'!$J$10:$N$10,0))</f>
        <v>27.715609427253749</v>
      </c>
      <c r="P36" s="240">
        <f>IF(AND($E36&gt;='Launch flag &amp; Life-Cycle Factor'!$F$24, $E36&lt;='Launch flag &amp; Life-Cycle Factor'!$E$24),'Launch flag &amp; Life-Cycle Factor'!$H$24, IF(AND($E36&gt;='Launch flag &amp; Life-Cycle Factor'!$F$23, $E36&lt;='Launch flag &amp; Life-Cycle Factor'!$E$23),'Launch flag &amp; Life-Cycle Factor'!$H$23, IF(AND($E36&gt;='Launch flag &amp; Life-Cycle Factor'!$F$22, $E36&lt;='Launch flag &amp; Life-Cycle Factor'!$E$22),'Launch flag &amp; Life-Cycle Factor'!$H$22, IF(AND($E36&gt;='Launch flag &amp; Life-Cycle Factor'!$F$21, $E36&lt;='Launch flag &amp; Life-Cycle Factor'!$E$21),'Launch flag &amp; Life-Cycle Factor'!$H$21, IF(AND($E36&gt;='Launch flag &amp; Life-Cycle Factor'!$F$20, $E36&lt;='Launch flag &amp; Life-Cycle Factor'!$E$20),'Launch flag &amp; Life-Cycle Factor'!$H$20, IF(AND($E36&gt;='Launch flag &amp; Life-Cycle Factor'!$F$19, $E36&lt;='Launch flag &amp; Life-Cycle Factor'!$E$19),'Launch flag &amp; Life-Cycle Factor'!$H$19, IF(AND($E36&gt;='Launch flag &amp; Life-Cycle Factor'!$F$18, $E36&lt;='Launch flag &amp; Life-Cycle Factor'!$E$18),'Launch flag &amp; Life-Cycle Factor'!$H$18, IF(AND($E36&gt;='Launch flag &amp; Life-Cycle Factor'!$F$17, $E36&lt;='Launch flag &amp; Life-Cycle Factor'!$E$17),'Launch flag &amp; Life-Cycle Factor'!$H$17, IF(AND($E36&gt;='Launch flag &amp; Life-Cycle Factor'!$F$16, $E36&lt;='Launch flag &amp; Life-Cycle Factor'!$E$16),'Launch flag &amp; Life-Cycle Factor'!$H$16,IF(AND($E36&gt;='Launch flag &amp; Life-Cycle Factor'!$F$15, $E36&lt;='Launch flag &amp; Life-Cycle Factor'!$E$15),'Launch flag &amp; Life-Cycle Factor'!$H$15, IF(AND($E36&gt;='Launch flag &amp; Life-Cycle Factor'!$F$14, $E36&lt;='Launch flag &amp; Life-Cycle Factor'!$E$14),'Launch flag &amp; Life-Cycle Factor'!$H$14,IF(AND($E36&gt;='Launch flag &amp; Life-Cycle Factor'!$F$13, $E36&lt;='Launch flag &amp; Life-Cycle Factor'!$E$13),'Launch flag &amp; Life-Cycle Factor'!$H$13, IF(AND($E36&gt;='Launch flag &amp; Life-Cycle Factor'!$F$12, $E36&lt;='Launch flag &amp; Life-Cycle Factor'!$E$12),'Launch flag &amp; Life-Cycle Factor'!$H$12, IF(AND($E36&gt;='Launch flag &amp; Life-Cycle Factor'!$F$11, $E36&lt;='Launch flag &amp; Life-Cycle Factor'!$E$11),'Launch flag &amp; Life-Cycle Factor'!$H$11, IF(AND($E36&gt;='Launch flag &amp; Life-Cycle Factor'!$F$10, $E36&lt;='Launch flag &amp; Life-Cycle Factor'!$E$10),'Launch flag &amp; Life-Cycle Factor'!$H$10, IF(AND($E36&gt;='Launch flag &amp; Life-Cycle Factor'!$F$9, $E36&lt;='Launch flag &amp; Life-Cycle Factor'!$E$9),'Launch flag &amp; Life-Cycle Factor'!$H$9, IF(AND($E36&gt;='Launch flag &amp; Life-Cycle Factor'!$F$8, $E36&lt;='Launch flag &amp; Life-Cycle Factor'!$E$8),'Launch flag &amp; Life-Cycle Factor'!$H$8, IF(AND($E36&gt;='Launch flag &amp; Life-Cycle Factor'!$F$7, $E36&lt;='Launch flag &amp; Life-Cycle Factor'!$E$7),'Launch flag &amp; Life-Cycle Factor'!$H$7, IF(AND($E36&gt;='Launch flag &amp; Life-Cycle Factor'!$F$6, $E36&lt;='Launch flag &amp; Life-Cycle Factor'!$E$6),'Launch flag &amp; Life-Cycle Factor'!$H$6, "-")))))))))))))))))))</f>
        <v>0.15</v>
      </c>
      <c r="Q36" s="655">
        <f>IF(AND($E36&gt;='Launch flag &amp; Life-Cycle Factor'!$F$24, $E36&lt;='Launch flag &amp; Life-Cycle Factor'!$E$24),'Launch flag &amp; Life-Cycle Factor'!$I$24, IF(AND($E36&gt;='Launch flag &amp; Life-Cycle Factor'!$F$23, $E36&lt;='Launch flag &amp; Life-Cycle Factor'!$E$23),'Launch flag &amp; Life-Cycle Factor'!$I$23, IF(AND($E36&gt;='Launch flag &amp; Life-Cycle Factor'!$F$22, $E36&lt;='Launch flag &amp; Life-Cycle Factor'!$E$22),'Launch flag &amp; Life-Cycle Factor'!$I$22, IF(AND($E36&gt;='Launch flag &amp; Life-Cycle Factor'!$F$21, $E36&lt;='Launch flag &amp; Life-Cycle Factor'!$E$21),'Launch flag &amp; Life-Cycle Factor'!$I$21, IF(AND($E36&gt;='Launch flag &amp; Life-Cycle Factor'!$F$20, $E36&lt;='Launch flag &amp; Life-Cycle Factor'!$E$20),'Launch flag &amp; Life-Cycle Factor'!$I$20, IF(AND($E36&gt;='Launch flag &amp; Life-Cycle Factor'!$F$19, $E36&lt;='Launch flag &amp; Life-Cycle Factor'!$E$19),'Launch flag &amp; Life-Cycle Factor'!$I$19, IF(AND($E36&gt;='Launch flag &amp; Life-Cycle Factor'!$F$18, $E36&lt;='Launch flag &amp; Life-Cycle Factor'!$E$18),'Launch flag &amp; Life-Cycle Factor'!$I$18, IF(AND($E36&gt;='Launch flag &amp; Life-Cycle Factor'!$F$17, $E36&lt;='Launch flag &amp; Life-Cycle Factor'!$E$17),'Launch flag &amp; Life-Cycle Factor'!$I$17, IF(AND($E36&gt;='Launch flag &amp; Life-Cycle Factor'!$F$16, $E36&lt;='Launch flag &amp; Life-Cycle Factor'!$E$16),'Launch flag &amp; Life-Cycle Factor'!$I$16,IF(AND($E36&gt;='Launch flag &amp; Life-Cycle Factor'!$F$15, $E36&lt;='Launch flag &amp; Life-Cycle Factor'!$E$15),'Launch flag &amp; Life-Cycle Factor'!$I$15, IF(AND($E36&gt;='Launch flag &amp; Life-Cycle Factor'!$F$14, $E36&lt;='Launch flag &amp; Life-Cycle Factor'!$E$14),'Launch flag &amp; Life-Cycle Factor'!$I$14,IF(AND($E36&gt;='Launch flag &amp; Life-Cycle Factor'!$F$13, $E36&lt;='Launch flag &amp; Life-Cycle Factor'!$E$13),'Launch flag &amp; Life-Cycle Factor'!$I$13, IF(AND($E36&gt;='Launch flag &amp; Life-Cycle Factor'!$F$12, $E36&lt;='Launch flag &amp; Life-Cycle Factor'!$E$12),'Launch flag &amp; Life-Cycle Factor'!$I$12, IF(AND($E36&gt;='Launch flag &amp; Life-Cycle Factor'!$F$11, $E36&lt;='Launch flag &amp; Life-Cycle Factor'!$E$11),'Launch flag &amp; Life-Cycle Factor'!$I$11, IF(AND($E36&gt;='Launch flag &amp; Life-Cycle Factor'!$F$10, $E36&lt;='Launch flag &amp; Life-Cycle Factor'!$E$10),'Launch flag &amp; Life-Cycle Factor'!$I$10, IF(AND($E36&gt;='Launch flag &amp; Life-Cycle Factor'!$F$9, $E36&lt;='Launch flag &amp; Life-Cycle Factor'!$E$9),'Launch flag &amp; Life-Cycle Factor'!$I$9, IF(AND($E36&gt;='Launch flag &amp; Life-Cycle Factor'!$F$8, $E36&lt;='Launch flag &amp; Life-Cycle Factor'!$E$8),'Launch flag &amp; Life-Cycle Factor'!$I$8, IF(AND($E36&gt;='Launch flag &amp; Life-Cycle Factor'!$F$7, $E36&lt;='Launch flag &amp; Life-Cycle Factor'!$E$7),'Launch flag &amp; Life-Cycle Factor'!$I$7, IF(AND($E36&gt;='Launch flag &amp; Life-Cycle Factor'!$F$6, $E36&lt;='Launch flag &amp; Life-Cycle Factor'!$E$6),'Launch flag &amp; Life-Cycle Factor'!$I$6, "-")))))))))))))))))))</f>
        <v>0.85</v>
      </c>
      <c r="R36" s="662">
        <f t="shared" si="0"/>
        <v>4.2108561519654301E-2</v>
      </c>
      <c r="S36" s="663">
        <f t="shared" si="1"/>
        <v>10.57690397810479</v>
      </c>
      <c r="T36" s="242">
        <f t="shared" si="2"/>
        <v>4.2108561519654301E-2</v>
      </c>
      <c r="U36" s="243">
        <f t="shared" si="3"/>
        <v>10.57690397810479</v>
      </c>
      <c r="V36" s="837">
        <f t="shared" si="4"/>
        <v>10.619012539624444</v>
      </c>
      <c r="W36" s="838">
        <f t="shared" si="5"/>
        <v>10.619012539624444</v>
      </c>
      <c r="X36" s="672"/>
    </row>
    <row r="37" spans="2:24" x14ac:dyDescent="0.35">
      <c r="B37" s="186" t="s">
        <v>43</v>
      </c>
      <c r="C37" s="192" t="s">
        <v>197</v>
      </c>
      <c r="D37" s="206" t="str">
        <f>IF(AND($E37&gt;='Launch flag &amp; Life-Cycle Factor'!$F$24, $E37&lt;='Launch flag &amp; Life-Cycle Factor'!$E$24),'Launch flag &amp; Life-Cycle Factor'!$B$24, IF(AND($E37&gt;='Launch flag &amp; Life-Cycle Factor'!$F$23, $E37&lt;='Launch flag &amp; Life-Cycle Factor'!$E$23),'Launch flag &amp; Life-Cycle Factor'!$B$23, IF(AND($E37&gt;='Launch flag &amp; Life-Cycle Factor'!$F$22, $E37&lt;='Launch flag &amp; Life-Cycle Factor'!$E$22),'Launch flag &amp; Life-Cycle Factor'!$B$22, IF(AND($E37&gt;='Launch flag &amp; Life-Cycle Factor'!$F$21, $E37&lt;='Launch flag &amp; Life-Cycle Factor'!$E$21),'Launch flag &amp; Life-Cycle Factor'!$B$21, IF(AND($E37&gt;='Launch flag &amp; Life-Cycle Factor'!$F$20, $E37&lt;='Launch flag &amp; Life-Cycle Factor'!$E$20),'Launch flag &amp; Life-Cycle Factor'!$B$20, IF(AND($E37&gt;='Launch flag &amp; Life-Cycle Factor'!$F$19, $E37&lt;='Launch flag &amp; Life-Cycle Factor'!$E$19),'Launch flag &amp; Life-Cycle Factor'!$B$19, IF(AND($E37&gt;='Launch flag &amp; Life-Cycle Factor'!$F$18, $E37&lt;='Launch flag &amp; Life-Cycle Factor'!$E$18),'Launch flag &amp; Life-Cycle Factor'!$B$18, IF(AND($E37&gt;='Launch flag &amp; Life-Cycle Factor'!$F$17, $E37&lt;='Launch flag &amp; Life-Cycle Factor'!$E$17),'Launch flag &amp; Life-Cycle Factor'!$B$17, IF(AND($E37&gt;='Launch flag &amp; Life-Cycle Factor'!$F$16, $E37&lt;='Launch flag &amp; Life-Cycle Factor'!$E$16),'Launch flag &amp; Life-Cycle Factor'!$B$16,IF(AND($E37&gt;='Launch flag &amp; Life-Cycle Factor'!$F$15, $E37&lt;='Launch flag &amp; Life-Cycle Factor'!$E$15),'Launch flag &amp; Life-Cycle Factor'!$B$15, IF(AND($E37&gt;='Launch flag &amp; Life-Cycle Factor'!$F$14, $E37&lt;='Launch flag &amp; Life-Cycle Factor'!$E$14),'Launch flag &amp; Life-Cycle Factor'!$B$14,IF(AND($E37&gt;='Launch flag &amp; Life-Cycle Factor'!$F$13, $E37&lt;='Launch flag &amp; Life-Cycle Factor'!$E$13),'Launch flag &amp; Life-Cycle Factor'!$B$13, IF(AND($E37&gt;='Launch flag &amp; Life-Cycle Factor'!$F$12, $E37&lt;='Launch flag &amp; Life-Cycle Factor'!$E$12),'Launch flag &amp; Life-Cycle Factor'!$B$12, IF(AND($E37&gt;='Launch flag &amp; Life-Cycle Factor'!$F$11, $E37&lt;='Launch flag &amp; Life-Cycle Factor'!$E$11),'Launch flag &amp; Life-Cycle Factor'!$B$11, IF(AND($E37&gt;='Launch flag &amp; Life-Cycle Factor'!$F$10, $E37&lt;='Launch flag &amp; Life-Cycle Factor'!$E$10),'Launch flag &amp; Life-Cycle Factor'!$B$10, IF(AND($E37&gt;='Launch flag &amp; Life-Cycle Factor'!$F$9, $E37&lt;='Launch flag &amp; Life-Cycle Factor'!$E$9),'Launch flag &amp; Life-Cycle Factor'!$B$9, IF(AND($E37&gt;='Launch flag &amp; Life-Cycle Factor'!$F$8, $E37&lt;='Launch flag &amp; Life-Cycle Factor'!$E$8),'Launch flag &amp; Life-Cycle Factor'!$B$8, IF(AND($E37&gt;='Launch flag &amp; Life-Cycle Factor'!$F$7, $E37&lt;='Launch flag &amp; Life-Cycle Factor'!$E$7),'Launch flag &amp; Life-Cycle Factor'!$B$7, IF(AND($E37&gt;='Launch flag &amp; Life-Cycle Factor'!$F$6, $E37&lt;='Launch flag &amp; Life-Cycle Factor'!$E$6),'Launch flag &amp; Life-Cycle Factor'!$B$6, "-")))))))))))))))))))</f>
        <v>Planning Year</v>
      </c>
      <c r="E37" s="219">
        <f>INDEX('NPS with launch Dates '!$J$6:$J$59,MATCH('2.  Sales Data Key &amp; Key-Lyn'!$C37,'NPS with launch Dates '!$I$6:$I$59,0))</f>
        <v>45414</v>
      </c>
      <c r="F37" s="197">
        <f>INDEX('Raw Sales Forecasting Data'!$D$11:$H$126,MATCH('2.  Sales Data Key &amp; Key-Lyn'!$C37,'Raw Sales Forecasting Data'!$C$11:$C$126,0),MATCH('2.  Sales Data Key &amp; Key-Lyn'!F$6,'Raw Sales Forecasting Data'!$D$10:$H$10,0))</f>
        <v>0</v>
      </c>
      <c r="G37" s="198">
        <f>INDEX('Raw Sales Forecasting Data'!$D$11:$H$126,MATCH('2.  Sales Data Key &amp; Key-Lyn'!$C37,'Raw Sales Forecasting Data'!$C$11:$C$126,0),MATCH('2.  Sales Data Key &amp; Key-Lyn'!G$6,'Raw Sales Forecasting Data'!$D$10:$H$10,0))</f>
        <v>52.925188862279327</v>
      </c>
      <c r="H37" s="198">
        <f>INDEX('Raw Sales Forecasting Data'!$D$11:$H$126,MATCH('2.  Sales Data Key &amp; Key-Lyn'!$C37,'Raw Sales Forecasting Data'!$C$11:$C$126,0),MATCH('2.  Sales Data Key &amp; Key-Lyn'!H$6,'Raw Sales Forecasting Data'!$D$10:$H$10,0))</f>
        <v>380.19605391765077</v>
      </c>
      <c r="I37" s="198">
        <f>INDEX('Raw Sales Forecasting Data'!$D$11:$H$126,MATCH('2.  Sales Data Key &amp; Key-Lyn'!$C37,'Raw Sales Forecasting Data'!$C$11:$C$126,0),MATCH('2.  Sales Data Key &amp; Key-Lyn'!I$6,'Raw Sales Forecasting Data'!$D$10:$H$10,0))</f>
        <v>574.12190163170362</v>
      </c>
      <c r="J37" s="199">
        <f>INDEX('Raw Sales Forecasting Data'!$D$11:$H$126,MATCH('2.  Sales Data Key &amp; Key-Lyn'!$C37,'Raw Sales Forecasting Data'!$C$11:$C$126,0),MATCH('2.  Sales Data Key &amp; Key-Lyn'!J$6,'Raw Sales Forecasting Data'!$D$10:$H$10,0))</f>
        <v>621.28758386906497</v>
      </c>
      <c r="K37" s="203">
        <f>INDEX('Raw Sales Forecasting Data'!$J$11:$N$126,MATCH('2.  Sales Data Key &amp; Key-Lyn'!$C37,'Raw Sales Forecasting Data'!$C$11:$C$126,0),MATCH('2.  Sales Data Key &amp; Key-Lyn'!K$6,'Raw Sales Forecasting Data'!$J$10:$N$10,0))</f>
        <v>0</v>
      </c>
      <c r="L37" s="198">
        <f>INDEX('Raw Sales Forecasting Data'!$J$11:$N$126,MATCH('2.  Sales Data Key &amp; Key-Lyn'!$C37,'Raw Sales Forecasting Data'!$C$11:$C$126,0),MATCH('2.  Sales Data Key &amp; Key-Lyn'!L$6,'Raw Sales Forecasting Data'!$J$10:$N$10,0))</f>
        <v>52.925188862279327</v>
      </c>
      <c r="M37" s="198">
        <f>INDEX('Raw Sales Forecasting Data'!$J$11:$N$126,MATCH('2.  Sales Data Key &amp; Key-Lyn'!$C37,'Raw Sales Forecasting Data'!$C$11:$C$126,0),MATCH('2.  Sales Data Key &amp; Key-Lyn'!M$6,'Raw Sales Forecasting Data'!$J$10:$N$10,0))</f>
        <v>380.19605391765077</v>
      </c>
      <c r="N37" s="198">
        <f>INDEX('Raw Sales Forecasting Data'!$J$11:$N$126,MATCH('2.  Sales Data Key &amp; Key-Lyn'!$C37,'Raw Sales Forecasting Data'!$C$11:$C$126,0),MATCH('2.  Sales Data Key &amp; Key-Lyn'!N$6,'Raw Sales Forecasting Data'!$J$10:$N$10,0))</f>
        <v>574.12190163170362</v>
      </c>
      <c r="O37" s="238">
        <f>INDEX('Raw Sales Forecasting Data'!$J$11:$N$126,MATCH('2.  Sales Data Key &amp; Key-Lyn'!$C37,'Raw Sales Forecasting Data'!$C$11:$C$126,0),MATCH('2.  Sales Data Key &amp; Key-Lyn'!O$6,'Raw Sales Forecasting Data'!$J$10:$N$10,0))</f>
        <v>621.28758386906497</v>
      </c>
      <c r="P37" s="240">
        <f>IF(AND($E37&gt;='Launch flag &amp; Life-Cycle Factor'!$F$24, $E37&lt;='Launch flag &amp; Life-Cycle Factor'!$E$24),'Launch flag &amp; Life-Cycle Factor'!$H$24, IF(AND($E37&gt;='Launch flag &amp; Life-Cycle Factor'!$F$23, $E37&lt;='Launch flag &amp; Life-Cycle Factor'!$E$23),'Launch flag &amp; Life-Cycle Factor'!$H$23, IF(AND($E37&gt;='Launch flag &amp; Life-Cycle Factor'!$F$22, $E37&lt;='Launch flag &amp; Life-Cycle Factor'!$E$22),'Launch flag &amp; Life-Cycle Factor'!$H$22, IF(AND($E37&gt;='Launch flag &amp; Life-Cycle Factor'!$F$21, $E37&lt;='Launch flag &amp; Life-Cycle Factor'!$E$21),'Launch flag &amp; Life-Cycle Factor'!$H$21, IF(AND($E37&gt;='Launch flag &amp; Life-Cycle Factor'!$F$20, $E37&lt;='Launch flag &amp; Life-Cycle Factor'!$E$20),'Launch flag &amp; Life-Cycle Factor'!$H$20, IF(AND($E37&gt;='Launch flag &amp; Life-Cycle Factor'!$F$19, $E37&lt;='Launch flag &amp; Life-Cycle Factor'!$E$19),'Launch flag &amp; Life-Cycle Factor'!$H$19, IF(AND($E37&gt;='Launch flag &amp; Life-Cycle Factor'!$F$18, $E37&lt;='Launch flag &amp; Life-Cycle Factor'!$E$18),'Launch flag &amp; Life-Cycle Factor'!$H$18, IF(AND($E37&gt;='Launch flag &amp; Life-Cycle Factor'!$F$17, $E37&lt;='Launch flag &amp; Life-Cycle Factor'!$E$17),'Launch flag &amp; Life-Cycle Factor'!$H$17, IF(AND($E37&gt;='Launch flag &amp; Life-Cycle Factor'!$F$16, $E37&lt;='Launch flag &amp; Life-Cycle Factor'!$E$16),'Launch flag &amp; Life-Cycle Factor'!$H$16,IF(AND($E37&gt;='Launch flag &amp; Life-Cycle Factor'!$F$15, $E37&lt;='Launch flag &amp; Life-Cycle Factor'!$E$15),'Launch flag &amp; Life-Cycle Factor'!$H$15, IF(AND($E37&gt;='Launch flag &amp; Life-Cycle Factor'!$F$14, $E37&lt;='Launch flag &amp; Life-Cycle Factor'!$E$14),'Launch flag &amp; Life-Cycle Factor'!$H$14,IF(AND($E37&gt;='Launch flag &amp; Life-Cycle Factor'!$F$13, $E37&lt;='Launch flag &amp; Life-Cycle Factor'!$E$13),'Launch flag &amp; Life-Cycle Factor'!$H$13, IF(AND($E37&gt;='Launch flag &amp; Life-Cycle Factor'!$F$12, $E37&lt;='Launch flag &amp; Life-Cycle Factor'!$E$12),'Launch flag &amp; Life-Cycle Factor'!$H$12, IF(AND($E37&gt;='Launch flag &amp; Life-Cycle Factor'!$F$11, $E37&lt;='Launch flag &amp; Life-Cycle Factor'!$E$11),'Launch flag &amp; Life-Cycle Factor'!$H$11, IF(AND($E37&gt;='Launch flag &amp; Life-Cycle Factor'!$F$10, $E37&lt;='Launch flag &amp; Life-Cycle Factor'!$E$10),'Launch flag &amp; Life-Cycle Factor'!$H$10, IF(AND($E37&gt;='Launch flag &amp; Life-Cycle Factor'!$F$9, $E37&lt;='Launch flag &amp; Life-Cycle Factor'!$E$9),'Launch flag &amp; Life-Cycle Factor'!$H$9, IF(AND($E37&gt;='Launch flag &amp; Life-Cycle Factor'!$F$8, $E37&lt;='Launch flag &amp; Life-Cycle Factor'!$E$8),'Launch flag &amp; Life-Cycle Factor'!$H$8, IF(AND($E37&gt;='Launch flag &amp; Life-Cycle Factor'!$F$7, $E37&lt;='Launch flag &amp; Life-Cycle Factor'!$E$7),'Launch flag &amp; Life-Cycle Factor'!$H$7, IF(AND($E37&gt;='Launch flag &amp; Life-Cycle Factor'!$F$6, $E37&lt;='Launch flag &amp; Life-Cycle Factor'!$E$6),'Launch flag &amp; Life-Cycle Factor'!$H$6, "-")))))))))))))))))))</f>
        <v>0.4</v>
      </c>
      <c r="Q37" s="655">
        <f>IF(AND($E37&gt;='Launch flag &amp; Life-Cycle Factor'!$F$24, $E37&lt;='Launch flag &amp; Life-Cycle Factor'!$E$24),'Launch flag &amp; Life-Cycle Factor'!$I$24, IF(AND($E37&gt;='Launch flag &amp; Life-Cycle Factor'!$F$23, $E37&lt;='Launch flag &amp; Life-Cycle Factor'!$E$23),'Launch flag &amp; Life-Cycle Factor'!$I$23, IF(AND($E37&gt;='Launch flag &amp; Life-Cycle Factor'!$F$22, $E37&lt;='Launch flag &amp; Life-Cycle Factor'!$E$22),'Launch flag &amp; Life-Cycle Factor'!$I$22, IF(AND($E37&gt;='Launch flag &amp; Life-Cycle Factor'!$F$21, $E37&lt;='Launch flag &amp; Life-Cycle Factor'!$E$21),'Launch flag &amp; Life-Cycle Factor'!$I$21, IF(AND($E37&gt;='Launch flag &amp; Life-Cycle Factor'!$F$20, $E37&lt;='Launch flag &amp; Life-Cycle Factor'!$E$20),'Launch flag &amp; Life-Cycle Factor'!$I$20, IF(AND($E37&gt;='Launch flag &amp; Life-Cycle Factor'!$F$19, $E37&lt;='Launch flag &amp; Life-Cycle Factor'!$E$19),'Launch flag &amp; Life-Cycle Factor'!$I$19, IF(AND($E37&gt;='Launch flag &amp; Life-Cycle Factor'!$F$18, $E37&lt;='Launch flag &amp; Life-Cycle Factor'!$E$18),'Launch flag &amp; Life-Cycle Factor'!$I$18, IF(AND($E37&gt;='Launch flag &amp; Life-Cycle Factor'!$F$17, $E37&lt;='Launch flag &amp; Life-Cycle Factor'!$E$17),'Launch flag &amp; Life-Cycle Factor'!$I$17, IF(AND($E37&gt;='Launch flag &amp; Life-Cycle Factor'!$F$16, $E37&lt;='Launch flag &amp; Life-Cycle Factor'!$E$16),'Launch flag &amp; Life-Cycle Factor'!$I$16,IF(AND($E37&gt;='Launch flag &amp; Life-Cycle Factor'!$F$15, $E37&lt;='Launch flag &amp; Life-Cycle Factor'!$E$15),'Launch flag &amp; Life-Cycle Factor'!$I$15, IF(AND($E37&gt;='Launch flag &amp; Life-Cycle Factor'!$F$14, $E37&lt;='Launch flag &amp; Life-Cycle Factor'!$E$14),'Launch flag &amp; Life-Cycle Factor'!$I$14,IF(AND($E37&gt;='Launch flag &amp; Life-Cycle Factor'!$F$13, $E37&lt;='Launch flag &amp; Life-Cycle Factor'!$E$13),'Launch flag &amp; Life-Cycle Factor'!$I$13, IF(AND($E37&gt;='Launch flag &amp; Life-Cycle Factor'!$F$12, $E37&lt;='Launch flag &amp; Life-Cycle Factor'!$E$12),'Launch flag &amp; Life-Cycle Factor'!$I$12, IF(AND($E37&gt;='Launch flag &amp; Life-Cycle Factor'!$F$11, $E37&lt;='Launch flag &amp; Life-Cycle Factor'!$E$11),'Launch flag &amp; Life-Cycle Factor'!$I$11, IF(AND($E37&gt;='Launch flag &amp; Life-Cycle Factor'!$F$10, $E37&lt;='Launch flag &amp; Life-Cycle Factor'!$E$10),'Launch flag &amp; Life-Cycle Factor'!$I$10, IF(AND($E37&gt;='Launch flag &amp; Life-Cycle Factor'!$F$9, $E37&lt;='Launch flag &amp; Life-Cycle Factor'!$E$9),'Launch flag &amp; Life-Cycle Factor'!$I$9, IF(AND($E37&gt;='Launch flag &amp; Life-Cycle Factor'!$F$8, $E37&lt;='Launch flag &amp; Life-Cycle Factor'!$E$8),'Launch flag &amp; Life-Cycle Factor'!$I$8, IF(AND($E37&gt;='Launch flag &amp; Life-Cycle Factor'!$F$7, $E37&lt;='Launch flag &amp; Life-Cycle Factor'!$E$7),'Launch flag &amp; Life-Cycle Factor'!$I$7, IF(AND($E37&gt;='Launch flag &amp; Life-Cycle Factor'!$F$6, $E37&lt;='Launch flag &amp; Life-Cycle Factor'!$E$6),'Launch flag &amp; Life-Cycle Factor'!$I$6, "-")))))))))))))))))))</f>
        <v>0.6</v>
      </c>
      <c r="R37" s="662">
        <f t="shared" si="0"/>
        <v>21.170075544911732</v>
      </c>
      <c r="S37" s="663">
        <f t="shared" si="1"/>
        <v>228.11763235059047</v>
      </c>
      <c r="T37" s="242">
        <f t="shared" si="2"/>
        <v>21.170075544911732</v>
      </c>
      <c r="U37" s="243">
        <f t="shared" si="3"/>
        <v>228.11763235059047</v>
      </c>
      <c r="V37" s="837">
        <f t="shared" si="4"/>
        <v>249.28770789550219</v>
      </c>
      <c r="W37" s="838">
        <f t="shared" si="5"/>
        <v>249.28770789550219</v>
      </c>
      <c r="X37" s="672"/>
    </row>
    <row r="38" spans="2:24" x14ac:dyDescent="0.35">
      <c r="B38" s="186" t="s">
        <v>43</v>
      </c>
      <c r="C38" s="192" t="s">
        <v>200</v>
      </c>
      <c r="D38" s="206" t="str">
        <f>IF(AND($E38&gt;='Launch flag &amp; Life-Cycle Factor'!$F$24, $E38&lt;='Launch flag &amp; Life-Cycle Factor'!$E$24),'Launch flag &amp; Life-Cycle Factor'!$B$24, IF(AND($E38&gt;='Launch flag &amp; Life-Cycle Factor'!$F$23, $E38&lt;='Launch flag &amp; Life-Cycle Factor'!$E$23),'Launch flag &amp; Life-Cycle Factor'!$B$23, IF(AND($E38&gt;='Launch flag &amp; Life-Cycle Factor'!$F$22, $E38&lt;='Launch flag &amp; Life-Cycle Factor'!$E$22),'Launch flag &amp; Life-Cycle Factor'!$B$22, IF(AND($E38&gt;='Launch flag &amp; Life-Cycle Factor'!$F$21, $E38&lt;='Launch flag &amp; Life-Cycle Factor'!$E$21),'Launch flag &amp; Life-Cycle Factor'!$B$21, IF(AND($E38&gt;='Launch flag &amp; Life-Cycle Factor'!$F$20, $E38&lt;='Launch flag &amp; Life-Cycle Factor'!$E$20),'Launch flag &amp; Life-Cycle Factor'!$B$20, IF(AND($E38&gt;='Launch flag &amp; Life-Cycle Factor'!$F$19, $E38&lt;='Launch flag &amp; Life-Cycle Factor'!$E$19),'Launch flag &amp; Life-Cycle Factor'!$B$19, IF(AND($E38&gt;='Launch flag &amp; Life-Cycle Factor'!$F$18, $E38&lt;='Launch flag &amp; Life-Cycle Factor'!$E$18),'Launch flag &amp; Life-Cycle Factor'!$B$18, IF(AND($E38&gt;='Launch flag &amp; Life-Cycle Factor'!$F$17, $E38&lt;='Launch flag &amp; Life-Cycle Factor'!$E$17),'Launch flag &amp; Life-Cycle Factor'!$B$17, IF(AND($E38&gt;='Launch flag &amp; Life-Cycle Factor'!$F$16, $E38&lt;='Launch flag &amp; Life-Cycle Factor'!$E$16),'Launch flag &amp; Life-Cycle Factor'!$B$16,IF(AND($E38&gt;='Launch flag &amp; Life-Cycle Factor'!$F$15, $E38&lt;='Launch flag &amp; Life-Cycle Factor'!$E$15),'Launch flag &amp; Life-Cycle Factor'!$B$15, IF(AND($E38&gt;='Launch flag &amp; Life-Cycle Factor'!$F$14, $E38&lt;='Launch flag &amp; Life-Cycle Factor'!$E$14),'Launch flag &amp; Life-Cycle Factor'!$B$14,IF(AND($E38&gt;='Launch flag &amp; Life-Cycle Factor'!$F$13, $E38&lt;='Launch flag &amp; Life-Cycle Factor'!$E$13),'Launch flag &amp; Life-Cycle Factor'!$B$13, IF(AND($E38&gt;='Launch flag &amp; Life-Cycle Factor'!$F$12, $E38&lt;='Launch flag &amp; Life-Cycle Factor'!$E$12),'Launch flag &amp; Life-Cycle Factor'!$B$12, IF(AND($E38&gt;='Launch flag &amp; Life-Cycle Factor'!$F$11, $E38&lt;='Launch flag &amp; Life-Cycle Factor'!$E$11),'Launch flag &amp; Life-Cycle Factor'!$B$11, IF(AND($E38&gt;='Launch flag &amp; Life-Cycle Factor'!$F$10, $E38&lt;='Launch flag &amp; Life-Cycle Factor'!$E$10),'Launch flag &amp; Life-Cycle Factor'!$B$10, IF(AND($E38&gt;='Launch flag &amp; Life-Cycle Factor'!$F$9, $E38&lt;='Launch flag &amp; Life-Cycle Factor'!$E$9),'Launch flag &amp; Life-Cycle Factor'!$B$9, IF(AND($E38&gt;='Launch flag &amp; Life-Cycle Factor'!$F$8, $E38&lt;='Launch flag &amp; Life-Cycle Factor'!$E$8),'Launch flag &amp; Life-Cycle Factor'!$B$8, IF(AND($E38&gt;='Launch flag &amp; Life-Cycle Factor'!$F$7, $E38&lt;='Launch flag &amp; Life-Cycle Factor'!$E$7),'Launch flag &amp; Life-Cycle Factor'!$B$7, IF(AND($E38&gt;='Launch flag &amp; Life-Cycle Factor'!$F$6, $E38&lt;='Launch flag &amp; Life-Cycle Factor'!$E$6),'Launch flag &amp; Life-Cycle Factor'!$B$6, "-")))))))))))))))))))</f>
        <v>Recent Launch</v>
      </c>
      <c r="E38" s="219">
        <f>INDEX('NPS with launch Dates '!$J$6:$J$59,MATCH('2.  Sales Data Key &amp; Key-Lyn'!$C38,'NPS with launch Dates '!$I$6:$I$59,0))</f>
        <v>45018</v>
      </c>
      <c r="F38" s="197">
        <f>INDEX('Raw Sales Forecasting Data'!$D$11:$H$126,MATCH('2.  Sales Data Key &amp; Key-Lyn'!$C38,'Raw Sales Forecasting Data'!$C$11:$C$126,0),MATCH('2.  Sales Data Key &amp; Key-Lyn'!F$6,'Raw Sales Forecasting Data'!$D$10:$H$10,0))</f>
        <v>396.83218893530346</v>
      </c>
      <c r="G38" s="198">
        <f>INDEX('Raw Sales Forecasting Data'!$D$11:$H$126,MATCH('2.  Sales Data Key &amp; Key-Lyn'!$C38,'Raw Sales Forecasting Data'!$C$11:$C$126,0),MATCH('2.  Sales Data Key &amp; Key-Lyn'!G$6,'Raw Sales Forecasting Data'!$D$10:$H$10,0))</f>
        <v>346.17668625425381</v>
      </c>
      <c r="H38" s="198">
        <f>INDEX('Raw Sales Forecasting Data'!$D$11:$H$126,MATCH('2.  Sales Data Key &amp; Key-Lyn'!$C38,'Raw Sales Forecasting Data'!$C$11:$C$126,0),MATCH('2.  Sales Data Key &amp; Key-Lyn'!H$6,'Raw Sales Forecasting Data'!$D$10:$H$10,0))</f>
        <v>263.14434035473482</v>
      </c>
      <c r="I38" s="198">
        <f>INDEX('Raw Sales Forecasting Data'!$D$11:$H$126,MATCH('2.  Sales Data Key &amp; Key-Lyn'!$C38,'Raw Sales Forecasting Data'!$C$11:$C$126,0),MATCH('2.  Sales Data Key &amp; Key-Lyn'!I$6,'Raw Sales Forecasting Data'!$D$10:$H$10,0))</f>
        <v>215.2399336104796</v>
      </c>
      <c r="J38" s="199">
        <f>INDEX('Raw Sales Forecasting Data'!$D$11:$H$126,MATCH('2.  Sales Data Key &amp; Key-Lyn'!$C38,'Raw Sales Forecasting Data'!$C$11:$C$126,0),MATCH('2.  Sales Data Key &amp; Key-Lyn'!J$6,'Raw Sales Forecasting Data'!$D$10:$H$10,0))</f>
        <v>202.25527684994495</v>
      </c>
      <c r="K38" s="203">
        <f>INDEX('Raw Sales Forecasting Data'!$J$11:$N$126,MATCH('2.  Sales Data Key &amp; Key-Lyn'!$C38,'Raw Sales Forecasting Data'!$C$11:$C$126,0),MATCH('2.  Sales Data Key &amp; Key-Lyn'!K$6,'Raw Sales Forecasting Data'!$J$10:$N$10,0))</f>
        <v>396.83218893530346</v>
      </c>
      <c r="L38" s="198">
        <f>INDEX('Raw Sales Forecasting Data'!$J$11:$N$126,MATCH('2.  Sales Data Key &amp; Key-Lyn'!$C38,'Raw Sales Forecasting Data'!$C$11:$C$126,0),MATCH('2.  Sales Data Key &amp; Key-Lyn'!L$6,'Raw Sales Forecasting Data'!$J$10:$N$10,0))</f>
        <v>346.17668625425381</v>
      </c>
      <c r="M38" s="198">
        <f>INDEX('Raw Sales Forecasting Data'!$J$11:$N$126,MATCH('2.  Sales Data Key &amp; Key-Lyn'!$C38,'Raw Sales Forecasting Data'!$C$11:$C$126,0),MATCH('2.  Sales Data Key &amp; Key-Lyn'!M$6,'Raw Sales Forecasting Data'!$J$10:$N$10,0))</f>
        <v>263.14434035473482</v>
      </c>
      <c r="N38" s="198">
        <f>INDEX('Raw Sales Forecasting Data'!$J$11:$N$126,MATCH('2.  Sales Data Key &amp; Key-Lyn'!$C38,'Raw Sales Forecasting Data'!$C$11:$C$126,0),MATCH('2.  Sales Data Key &amp; Key-Lyn'!N$6,'Raw Sales Forecasting Data'!$J$10:$N$10,0))</f>
        <v>215.2399336104796</v>
      </c>
      <c r="O38" s="238">
        <f>INDEX('Raw Sales Forecasting Data'!$J$11:$N$126,MATCH('2.  Sales Data Key &amp; Key-Lyn'!$C38,'Raw Sales Forecasting Data'!$C$11:$C$126,0),MATCH('2.  Sales Data Key &amp; Key-Lyn'!O$6,'Raw Sales Forecasting Data'!$J$10:$N$10,0))</f>
        <v>202.25527684994495</v>
      </c>
      <c r="P38" s="240">
        <f>IF(AND($E38&gt;='Launch flag &amp; Life-Cycle Factor'!$F$24, $E38&lt;='Launch flag &amp; Life-Cycle Factor'!$E$24),'Launch flag &amp; Life-Cycle Factor'!$H$24, IF(AND($E38&gt;='Launch flag &amp; Life-Cycle Factor'!$F$23, $E38&lt;='Launch flag &amp; Life-Cycle Factor'!$E$23),'Launch flag &amp; Life-Cycle Factor'!$H$23, IF(AND($E38&gt;='Launch flag &amp; Life-Cycle Factor'!$F$22, $E38&lt;='Launch flag &amp; Life-Cycle Factor'!$E$22),'Launch flag &amp; Life-Cycle Factor'!$H$22, IF(AND($E38&gt;='Launch flag &amp; Life-Cycle Factor'!$F$21, $E38&lt;='Launch flag &amp; Life-Cycle Factor'!$E$21),'Launch flag &amp; Life-Cycle Factor'!$H$21, IF(AND($E38&gt;='Launch flag &amp; Life-Cycle Factor'!$F$20, $E38&lt;='Launch flag &amp; Life-Cycle Factor'!$E$20),'Launch flag &amp; Life-Cycle Factor'!$H$20, IF(AND($E38&gt;='Launch flag &amp; Life-Cycle Factor'!$F$19, $E38&lt;='Launch flag &amp; Life-Cycle Factor'!$E$19),'Launch flag &amp; Life-Cycle Factor'!$H$19, IF(AND($E38&gt;='Launch flag &amp; Life-Cycle Factor'!$F$18, $E38&lt;='Launch flag &amp; Life-Cycle Factor'!$E$18),'Launch flag &amp; Life-Cycle Factor'!$H$18, IF(AND($E38&gt;='Launch flag &amp; Life-Cycle Factor'!$F$17, $E38&lt;='Launch flag &amp; Life-Cycle Factor'!$E$17),'Launch flag &amp; Life-Cycle Factor'!$H$17, IF(AND($E38&gt;='Launch flag &amp; Life-Cycle Factor'!$F$16, $E38&lt;='Launch flag &amp; Life-Cycle Factor'!$E$16),'Launch flag &amp; Life-Cycle Factor'!$H$16,IF(AND($E38&gt;='Launch flag &amp; Life-Cycle Factor'!$F$15, $E38&lt;='Launch flag &amp; Life-Cycle Factor'!$E$15),'Launch flag &amp; Life-Cycle Factor'!$H$15, IF(AND($E38&gt;='Launch flag &amp; Life-Cycle Factor'!$F$14, $E38&lt;='Launch flag &amp; Life-Cycle Factor'!$E$14),'Launch flag &amp; Life-Cycle Factor'!$H$14,IF(AND($E38&gt;='Launch flag &amp; Life-Cycle Factor'!$F$13, $E38&lt;='Launch flag &amp; Life-Cycle Factor'!$E$13),'Launch flag &amp; Life-Cycle Factor'!$H$13, IF(AND($E38&gt;='Launch flag &amp; Life-Cycle Factor'!$F$12, $E38&lt;='Launch flag &amp; Life-Cycle Factor'!$E$12),'Launch flag &amp; Life-Cycle Factor'!$H$12, IF(AND($E38&gt;='Launch flag &amp; Life-Cycle Factor'!$F$11, $E38&lt;='Launch flag &amp; Life-Cycle Factor'!$E$11),'Launch flag &amp; Life-Cycle Factor'!$H$11, IF(AND($E38&gt;='Launch flag &amp; Life-Cycle Factor'!$F$10, $E38&lt;='Launch flag &amp; Life-Cycle Factor'!$E$10),'Launch flag &amp; Life-Cycle Factor'!$H$10, IF(AND($E38&gt;='Launch flag &amp; Life-Cycle Factor'!$F$9, $E38&lt;='Launch flag &amp; Life-Cycle Factor'!$E$9),'Launch flag &amp; Life-Cycle Factor'!$H$9, IF(AND($E38&gt;='Launch flag &amp; Life-Cycle Factor'!$F$8, $E38&lt;='Launch flag &amp; Life-Cycle Factor'!$E$8),'Launch flag &amp; Life-Cycle Factor'!$H$8, IF(AND($E38&gt;='Launch flag &amp; Life-Cycle Factor'!$F$7, $E38&lt;='Launch flag &amp; Life-Cycle Factor'!$E$7),'Launch flag &amp; Life-Cycle Factor'!$H$7, IF(AND($E38&gt;='Launch flag &amp; Life-Cycle Factor'!$F$6, $E38&lt;='Launch flag &amp; Life-Cycle Factor'!$E$6),'Launch flag &amp; Life-Cycle Factor'!$H$6, "-")))))))))))))))))))</f>
        <v>0.65</v>
      </c>
      <c r="Q38" s="655">
        <f>IF(AND($E38&gt;='Launch flag &amp; Life-Cycle Factor'!$F$24, $E38&lt;='Launch flag &amp; Life-Cycle Factor'!$E$24),'Launch flag &amp; Life-Cycle Factor'!$I$24, IF(AND($E38&gt;='Launch flag &amp; Life-Cycle Factor'!$F$23, $E38&lt;='Launch flag &amp; Life-Cycle Factor'!$E$23),'Launch flag &amp; Life-Cycle Factor'!$I$23, IF(AND($E38&gt;='Launch flag &amp; Life-Cycle Factor'!$F$22, $E38&lt;='Launch flag &amp; Life-Cycle Factor'!$E$22),'Launch flag &amp; Life-Cycle Factor'!$I$22, IF(AND($E38&gt;='Launch flag &amp; Life-Cycle Factor'!$F$21, $E38&lt;='Launch flag &amp; Life-Cycle Factor'!$E$21),'Launch flag &amp; Life-Cycle Factor'!$I$21, IF(AND($E38&gt;='Launch flag &amp; Life-Cycle Factor'!$F$20, $E38&lt;='Launch flag &amp; Life-Cycle Factor'!$E$20),'Launch flag &amp; Life-Cycle Factor'!$I$20, IF(AND($E38&gt;='Launch flag &amp; Life-Cycle Factor'!$F$19, $E38&lt;='Launch flag &amp; Life-Cycle Factor'!$E$19),'Launch flag &amp; Life-Cycle Factor'!$I$19, IF(AND($E38&gt;='Launch flag &amp; Life-Cycle Factor'!$F$18, $E38&lt;='Launch flag &amp; Life-Cycle Factor'!$E$18),'Launch flag &amp; Life-Cycle Factor'!$I$18, IF(AND($E38&gt;='Launch flag &amp; Life-Cycle Factor'!$F$17, $E38&lt;='Launch flag &amp; Life-Cycle Factor'!$E$17),'Launch flag &amp; Life-Cycle Factor'!$I$17, IF(AND($E38&gt;='Launch flag &amp; Life-Cycle Factor'!$F$16, $E38&lt;='Launch flag &amp; Life-Cycle Factor'!$E$16),'Launch flag &amp; Life-Cycle Factor'!$I$16,IF(AND($E38&gt;='Launch flag &amp; Life-Cycle Factor'!$F$15, $E38&lt;='Launch flag &amp; Life-Cycle Factor'!$E$15),'Launch flag &amp; Life-Cycle Factor'!$I$15, IF(AND($E38&gt;='Launch flag &amp; Life-Cycle Factor'!$F$14, $E38&lt;='Launch flag &amp; Life-Cycle Factor'!$E$14),'Launch flag &amp; Life-Cycle Factor'!$I$14,IF(AND($E38&gt;='Launch flag &amp; Life-Cycle Factor'!$F$13, $E38&lt;='Launch flag &amp; Life-Cycle Factor'!$E$13),'Launch flag &amp; Life-Cycle Factor'!$I$13, IF(AND($E38&gt;='Launch flag &amp; Life-Cycle Factor'!$F$12, $E38&lt;='Launch flag &amp; Life-Cycle Factor'!$E$12),'Launch flag &amp; Life-Cycle Factor'!$I$12, IF(AND($E38&gt;='Launch flag &amp; Life-Cycle Factor'!$F$11, $E38&lt;='Launch flag &amp; Life-Cycle Factor'!$E$11),'Launch flag &amp; Life-Cycle Factor'!$I$11, IF(AND($E38&gt;='Launch flag &amp; Life-Cycle Factor'!$F$10, $E38&lt;='Launch flag &amp; Life-Cycle Factor'!$E$10),'Launch flag &amp; Life-Cycle Factor'!$I$10, IF(AND($E38&gt;='Launch flag &amp; Life-Cycle Factor'!$F$9, $E38&lt;='Launch flag &amp; Life-Cycle Factor'!$E$9),'Launch flag &amp; Life-Cycle Factor'!$I$9, IF(AND($E38&gt;='Launch flag &amp; Life-Cycle Factor'!$F$8, $E38&lt;='Launch flag &amp; Life-Cycle Factor'!$E$8),'Launch flag &amp; Life-Cycle Factor'!$I$8, IF(AND($E38&gt;='Launch flag &amp; Life-Cycle Factor'!$F$7, $E38&lt;='Launch flag &amp; Life-Cycle Factor'!$E$7),'Launch flag &amp; Life-Cycle Factor'!$I$7, IF(AND($E38&gt;='Launch flag &amp; Life-Cycle Factor'!$F$6, $E38&lt;='Launch flag &amp; Life-Cycle Factor'!$E$6),'Launch flag &amp; Life-Cycle Factor'!$I$6, "-")))))))))))))))))))</f>
        <v>0.35</v>
      </c>
      <c r="R38" s="662">
        <f t="shared" si="0"/>
        <v>225.01484606526498</v>
      </c>
      <c r="S38" s="663">
        <f t="shared" si="1"/>
        <v>92.100519124157188</v>
      </c>
      <c r="T38" s="242">
        <f t="shared" si="2"/>
        <v>225.01484606526498</v>
      </c>
      <c r="U38" s="243">
        <f t="shared" si="3"/>
        <v>92.100519124157188</v>
      </c>
      <c r="V38" s="837">
        <f t="shared" si="4"/>
        <v>317.11536518942216</v>
      </c>
      <c r="W38" s="838">
        <f t="shared" si="5"/>
        <v>317.11536518942216</v>
      </c>
      <c r="X38" s="672"/>
    </row>
    <row r="39" spans="2:24" x14ac:dyDescent="0.35">
      <c r="B39" s="281" t="s">
        <v>43</v>
      </c>
      <c r="C39" s="622" t="s">
        <v>205</v>
      </c>
      <c r="D39" s="623" t="str">
        <f>IF(AND($E39&gt;='Launch flag &amp; Life-Cycle Factor'!$F$24, $E39&lt;='Launch flag &amp; Life-Cycle Factor'!$E$24),'Launch flag &amp; Life-Cycle Factor'!$B$24, IF(AND($E39&gt;='Launch flag &amp; Life-Cycle Factor'!$F$23, $E39&lt;='Launch flag &amp; Life-Cycle Factor'!$E$23),'Launch flag &amp; Life-Cycle Factor'!$B$23, IF(AND($E39&gt;='Launch flag &amp; Life-Cycle Factor'!$F$22, $E39&lt;='Launch flag &amp; Life-Cycle Factor'!$E$22),'Launch flag &amp; Life-Cycle Factor'!$B$22, IF(AND($E39&gt;='Launch flag &amp; Life-Cycle Factor'!$F$21, $E39&lt;='Launch flag &amp; Life-Cycle Factor'!$E$21),'Launch flag &amp; Life-Cycle Factor'!$B$21, IF(AND($E39&gt;='Launch flag &amp; Life-Cycle Factor'!$F$20, $E39&lt;='Launch flag &amp; Life-Cycle Factor'!$E$20),'Launch flag &amp; Life-Cycle Factor'!$B$20, IF(AND($E39&gt;='Launch flag &amp; Life-Cycle Factor'!$F$19, $E39&lt;='Launch flag &amp; Life-Cycle Factor'!$E$19),'Launch flag &amp; Life-Cycle Factor'!$B$19, IF(AND($E39&gt;='Launch flag &amp; Life-Cycle Factor'!$F$18, $E39&lt;='Launch flag &amp; Life-Cycle Factor'!$E$18),'Launch flag &amp; Life-Cycle Factor'!$B$18, IF(AND($E39&gt;='Launch flag &amp; Life-Cycle Factor'!$F$17, $E39&lt;='Launch flag &amp; Life-Cycle Factor'!$E$17),'Launch flag &amp; Life-Cycle Factor'!$B$17, IF(AND($E39&gt;='Launch flag &amp; Life-Cycle Factor'!$F$16, $E39&lt;='Launch flag &amp; Life-Cycle Factor'!$E$16),'Launch flag &amp; Life-Cycle Factor'!$B$16,IF(AND($E39&gt;='Launch flag &amp; Life-Cycle Factor'!$F$15, $E39&lt;='Launch flag &amp; Life-Cycle Factor'!$E$15),'Launch flag &amp; Life-Cycle Factor'!$B$15, IF(AND($E39&gt;='Launch flag &amp; Life-Cycle Factor'!$F$14, $E39&lt;='Launch flag &amp; Life-Cycle Factor'!$E$14),'Launch flag &amp; Life-Cycle Factor'!$B$14,IF(AND($E39&gt;='Launch flag &amp; Life-Cycle Factor'!$F$13, $E39&lt;='Launch flag &amp; Life-Cycle Factor'!$E$13),'Launch flag &amp; Life-Cycle Factor'!$B$13, IF(AND($E39&gt;='Launch flag &amp; Life-Cycle Factor'!$F$12, $E39&lt;='Launch flag &amp; Life-Cycle Factor'!$E$12),'Launch flag &amp; Life-Cycle Factor'!$B$12, IF(AND($E39&gt;='Launch flag &amp; Life-Cycle Factor'!$F$11, $E39&lt;='Launch flag &amp; Life-Cycle Factor'!$E$11),'Launch flag &amp; Life-Cycle Factor'!$B$11, IF(AND($E39&gt;='Launch flag &amp; Life-Cycle Factor'!$F$10, $E39&lt;='Launch flag &amp; Life-Cycle Factor'!$E$10),'Launch flag &amp; Life-Cycle Factor'!$B$10, IF(AND($E39&gt;='Launch flag &amp; Life-Cycle Factor'!$F$9, $E39&lt;='Launch flag &amp; Life-Cycle Factor'!$E$9),'Launch flag &amp; Life-Cycle Factor'!$B$9, IF(AND($E39&gt;='Launch flag &amp; Life-Cycle Factor'!$F$8, $E39&lt;='Launch flag &amp; Life-Cycle Factor'!$E$8),'Launch flag &amp; Life-Cycle Factor'!$B$8, IF(AND($E39&gt;='Launch flag &amp; Life-Cycle Factor'!$F$7, $E39&lt;='Launch flag &amp; Life-Cycle Factor'!$E$7),'Launch flag &amp; Life-Cycle Factor'!$B$7, IF(AND($E39&gt;='Launch flag &amp; Life-Cycle Factor'!$F$6, $E39&lt;='Launch flag &amp; Life-Cycle Factor'!$E$6),'Launch flag &amp; Life-Cycle Factor'!$B$6, "-")))))))))))))))))))</f>
        <v>-</v>
      </c>
      <c r="E39" s="624">
        <f>INDEX('NPS with launch Dates '!$J$6:$J$59,MATCH('2.  Sales Data Key &amp; Key-Lyn'!$C39,'NPS with launch Dates '!$I$6:$I$59,0))</f>
        <v>46448</v>
      </c>
      <c r="F39" s="625">
        <f>INDEX('Raw Sales Forecasting Data'!$D$11:$H$126,MATCH('2.  Sales Data Key &amp; Key-Lyn'!$C39,'Raw Sales Forecasting Data'!$C$11:$C$126,0),MATCH('2.  Sales Data Key &amp; Key-Lyn'!F$6,'Raw Sales Forecasting Data'!$D$10:$H$10,0))</f>
        <v>0</v>
      </c>
      <c r="G39" s="626">
        <f>INDEX('Raw Sales Forecasting Data'!$D$11:$H$126,MATCH('2.  Sales Data Key &amp; Key-Lyn'!$C39,'Raw Sales Forecasting Data'!$C$11:$C$126,0),MATCH('2.  Sales Data Key &amp; Key-Lyn'!G$6,'Raw Sales Forecasting Data'!$D$10:$H$10,0))</f>
        <v>0</v>
      </c>
      <c r="H39" s="626">
        <f>INDEX('Raw Sales Forecasting Data'!$D$11:$H$126,MATCH('2.  Sales Data Key &amp; Key-Lyn'!$C39,'Raw Sales Forecasting Data'!$C$11:$C$126,0),MATCH('2.  Sales Data Key &amp; Key-Lyn'!H$6,'Raw Sales Forecasting Data'!$D$10:$H$10,0))</f>
        <v>0</v>
      </c>
      <c r="I39" s="626">
        <f>INDEX('Raw Sales Forecasting Data'!$D$11:$H$126,MATCH('2.  Sales Data Key &amp; Key-Lyn'!$C39,'Raw Sales Forecasting Data'!$C$11:$C$126,0),MATCH('2.  Sales Data Key &amp; Key-Lyn'!I$6,'Raw Sales Forecasting Data'!$D$10:$H$10,0))</f>
        <v>0</v>
      </c>
      <c r="J39" s="627">
        <f>INDEX('Raw Sales Forecasting Data'!$D$11:$H$126,MATCH('2.  Sales Data Key &amp; Key-Lyn'!$C39,'Raw Sales Forecasting Data'!$C$11:$C$126,0),MATCH('2.  Sales Data Key &amp; Key-Lyn'!J$6,'Raw Sales Forecasting Data'!$D$10:$H$10,0))</f>
        <v>34.675494</v>
      </c>
      <c r="K39" s="628">
        <f>INDEX('Raw Sales Forecasting Data'!$J$11:$N$126,MATCH('2.  Sales Data Key &amp; Key-Lyn'!$C39,'Raw Sales Forecasting Data'!$C$11:$C$126,0),MATCH('2.  Sales Data Key &amp; Key-Lyn'!K$6,'Raw Sales Forecasting Data'!$J$10:$N$10,0))</f>
        <v>0</v>
      </c>
      <c r="L39" s="626">
        <f>INDEX('Raw Sales Forecasting Data'!$J$11:$N$126,MATCH('2.  Sales Data Key &amp; Key-Lyn'!$C39,'Raw Sales Forecasting Data'!$C$11:$C$126,0),MATCH('2.  Sales Data Key &amp; Key-Lyn'!L$6,'Raw Sales Forecasting Data'!$J$10:$N$10,0))</f>
        <v>0</v>
      </c>
      <c r="M39" s="626">
        <f>INDEX('Raw Sales Forecasting Data'!$J$11:$N$126,MATCH('2.  Sales Data Key &amp; Key-Lyn'!$C39,'Raw Sales Forecasting Data'!$C$11:$C$126,0),MATCH('2.  Sales Data Key &amp; Key-Lyn'!M$6,'Raw Sales Forecasting Data'!$J$10:$N$10,0))</f>
        <v>0</v>
      </c>
      <c r="N39" s="626">
        <f>INDEX('Raw Sales Forecasting Data'!$J$11:$N$126,MATCH('2.  Sales Data Key &amp; Key-Lyn'!$C39,'Raw Sales Forecasting Data'!$C$11:$C$126,0),MATCH('2.  Sales Data Key &amp; Key-Lyn'!N$6,'Raw Sales Forecasting Data'!$J$10:$N$10,0))</f>
        <v>0</v>
      </c>
      <c r="O39" s="629">
        <f>INDEX('Raw Sales Forecasting Data'!$J$11:$N$126,MATCH('2.  Sales Data Key &amp; Key-Lyn'!$C39,'Raw Sales Forecasting Data'!$C$11:$C$126,0),MATCH('2.  Sales Data Key &amp; Key-Lyn'!O$6,'Raw Sales Forecasting Data'!$J$10:$N$10,0))</f>
        <v>34.675494</v>
      </c>
      <c r="P39" s="630" t="str">
        <f>IF(AND($E39&gt;='Launch flag &amp; Life-Cycle Factor'!$F$24, $E39&lt;='Launch flag &amp; Life-Cycle Factor'!$E$24),'Launch flag &amp; Life-Cycle Factor'!$H$24, IF(AND($E39&gt;='Launch flag &amp; Life-Cycle Factor'!$F$23, $E39&lt;='Launch flag &amp; Life-Cycle Factor'!$E$23),'Launch flag &amp; Life-Cycle Factor'!$H$23, IF(AND($E39&gt;='Launch flag &amp; Life-Cycle Factor'!$F$22, $E39&lt;='Launch flag &amp; Life-Cycle Factor'!$E$22),'Launch flag &amp; Life-Cycle Factor'!$H$22, IF(AND($E39&gt;='Launch flag &amp; Life-Cycle Factor'!$F$21, $E39&lt;='Launch flag &amp; Life-Cycle Factor'!$E$21),'Launch flag &amp; Life-Cycle Factor'!$H$21, IF(AND($E39&gt;='Launch flag &amp; Life-Cycle Factor'!$F$20, $E39&lt;='Launch flag &amp; Life-Cycle Factor'!$E$20),'Launch flag &amp; Life-Cycle Factor'!$H$20, IF(AND($E39&gt;='Launch flag &amp; Life-Cycle Factor'!$F$19, $E39&lt;='Launch flag &amp; Life-Cycle Factor'!$E$19),'Launch flag &amp; Life-Cycle Factor'!$H$19, IF(AND($E39&gt;='Launch flag &amp; Life-Cycle Factor'!$F$18, $E39&lt;='Launch flag &amp; Life-Cycle Factor'!$E$18),'Launch flag &amp; Life-Cycle Factor'!$H$18, IF(AND($E39&gt;='Launch flag &amp; Life-Cycle Factor'!$F$17, $E39&lt;='Launch flag &amp; Life-Cycle Factor'!$E$17),'Launch flag &amp; Life-Cycle Factor'!$H$17, IF(AND($E39&gt;='Launch flag &amp; Life-Cycle Factor'!$F$16, $E39&lt;='Launch flag &amp; Life-Cycle Factor'!$E$16),'Launch flag &amp; Life-Cycle Factor'!$H$16,IF(AND($E39&gt;='Launch flag &amp; Life-Cycle Factor'!$F$15, $E39&lt;='Launch flag &amp; Life-Cycle Factor'!$E$15),'Launch flag &amp; Life-Cycle Factor'!$H$15, IF(AND($E39&gt;='Launch flag &amp; Life-Cycle Factor'!$F$14, $E39&lt;='Launch flag &amp; Life-Cycle Factor'!$E$14),'Launch flag &amp; Life-Cycle Factor'!$H$14,IF(AND($E39&gt;='Launch flag &amp; Life-Cycle Factor'!$F$13, $E39&lt;='Launch flag &amp; Life-Cycle Factor'!$E$13),'Launch flag &amp; Life-Cycle Factor'!$H$13, IF(AND($E39&gt;='Launch flag &amp; Life-Cycle Factor'!$F$12, $E39&lt;='Launch flag &amp; Life-Cycle Factor'!$E$12),'Launch flag &amp; Life-Cycle Factor'!$H$12, IF(AND($E39&gt;='Launch flag &amp; Life-Cycle Factor'!$F$11, $E39&lt;='Launch flag &amp; Life-Cycle Factor'!$E$11),'Launch flag &amp; Life-Cycle Factor'!$H$11, IF(AND($E39&gt;='Launch flag &amp; Life-Cycle Factor'!$F$10, $E39&lt;='Launch flag &amp; Life-Cycle Factor'!$E$10),'Launch flag &amp; Life-Cycle Factor'!$H$10, IF(AND($E39&gt;='Launch flag &amp; Life-Cycle Factor'!$F$9, $E39&lt;='Launch flag &amp; Life-Cycle Factor'!$E$9),'Launch flag &amp; Life-Cycle Factor'!$H$9, IF(AND($E39&gt;='Launch flag &amp; Life-Cycle Factor'!$F$8, $E39&lt;='Launch flag &amp; Life-Cycle Factor'!$E$8),'Launch flag &amp; Life-Cycle Factor'!$H$8, IF(AND($E39&gt;='Launch flag &amp; Life-Cycle Factor'!$F$7, $E39&lt;='Launch flag &amp; Life-Cycle Factor'!$E$7),'Launch flag &amp; Life-Cycle Factor'!$H$7, IF(AND($E39&gt;='Launch flag &amp; Life-Cycle Factor'!$F$6, $E39&lt;='Launch flag &amp; Life-Cycle Factor'!$E$6),'Launch flag &amp; Life-Cycle Factor'!$H$6, "-")))))))))))))))))))</f>
        <v>-</v>
      </c>
      <c r="Q39" s="656" t="str">
        <f>IF(AND($E39&gt;='Launch flag &amp; Life-Cycle Factor'!$F$24, $E39&lt;='Launch flag &amp; Life-Cycle Factor'!$E$24),'Launch flag &amp; Life-Cycle Factor'!$I$24, IF(AND($E39&gt;='Launch flag &amp; Life-Cycle Factor'!$F$23, $E39&lt;='Launch flag &amp; Life-Cycle Factor'!$E$23),'Launch flag &amp; Life-Cycle Factor'!$I$23, IF(AND($E39&gt;='Launch flag &amp; Life-Cycle Factor'!$F$22, $E39&lt;='Launch flag &amp; Life-Cycle Factor'!$E$22),'Launch flag &amp; Life-Cycle Factor'!$I$22, IF(AND($E39&gt;='Launch flag &amp; Life-Cycle Factor'!$F$21, $E39&lt;='Launch flag &amp; Life-Cycle Factor'!$E$21),'Launch flag &amp; Life-Cycle Factor'!$I$21, IF(AND($E39&gt;='Launch flag &amp; Life-Cycle Factor'!$F$20, $E39&lt;='Launch flag &amp; Life-Cycle Factor'!$E$20),'Launch flag &amp; Life-Cycle Factor'!$I$20, IF(AND($E39&gt;='Launch flag &amp; Life-Cycle Factor'!$F$19, $E39&lt;='Launch flag &amp; Life-Cycle Factor'!$E$19),'Launch flag &amp; Life-Cycle Factor'!$I$19, IF(AND($E39&gt;='Launch flag &amp; Life-Cycle Factor'!$F$18, $E39&lt;='Launch flag &amp; Life-Cycle Factor'!$E$18),'Launch flag &amp; Life-Cycle Factor'!$I$18, IF(AND($E39&gt;='Launch flag &amp; Life-Cycle Factor'!$F$17, $E39&lt;='Launch flag &amp; Life-Cycle Factor'!$E$17),'Launch flag &amp; Life-Cycle Factor'!$I$17, IF(AND($E39&gt;='Launch flag &amp; Life-Cycle Factor'!$F$16, $E39&lt;='Launch flag &amp; Life-Cycle Factor'!$E$16),'Launch flag &amp; Life-Cycle Factor'!$I$16,IF(AND($E39&gt;='Launch flag &amp; Life-Cycle Factor'!$F$15, $E39&lt;='Launch flag &amp; Life-Cycle Factor'!$E$15),'Launch flag &amp; Life-Cycle Factor'!$I$15, IF(AND($E39&gt;='Launch flag &amp; Life-Cycle Factor'!$F$14, $E39&lt;='Launch flag &amp; Life-Cycle Factor'!$E$14),'Launch flag &amp; Life-Cycle Factor'!$I$14,IF(AND($E39&gt;='Launch flag &amp; Life-Cycle Factor'!$F$13, $E39&lt;='Launch flag &amp; Life-Cycle Factor'!$E$13),'Launch flag &amp; Life-Cycle Factor'!$I$13, IF(AND($E39&gt;='Launch flag &amp; Life-Cycle Factor'!$F$12, $E39&lt;='Launch flag &amp; Life-Cycle Factor'!$E$12),'Launch flag &amp; Life-Cycle Factor'!$I$12, IF(AND($E39&gt;='Launch flag &amp; Life-Cycle Factor'!$F$11, $E39&lt;='Launch flag &amp; Life-Cycle Factor'!$E$11),'Launch flag &amp; Life-Cycle Factor'!$I$11, IF(AND($E39&gt;='Launch flag &amp; Life-Cycle Factor'!$F$10, $E39&lt;='Launch flag &amp; Life-Cycle Factor'!$E$10),'Launch flag &amp; Life-Cycle Factor'!$I$10, IF(AND($E39&gt;='Launch flag &amp; Life-Cycle Factor'!$F$9, $E39&lt;='Launch flag &amp; Life-Cycle Factor'!$E$9),'Launch flag &amp; Life-Cycle Factor'!$I$9, IF(AND($E39&gt;='Launch flag &amp; Life-Cycle Factor'!$F$8, $E39&lt;='Launch flag &amp; Life-Cycle Factor'!$E$8),'Launch flag &amp; Life-Cycle Factor'!$I$8, IF(AND($E39&gt;='Launch flag &amp; Life-Cycle Factor'!$F$7, $E39&lt;='Launch flag &amp; Life-Cycle Factor'!$E$7),'Launch flag &amp; Life-Cycle Factor'!$I$7, IF(AND($E39&gt;='Launch flag &amp; Life-Cycle Factor'!$F$6, $E39&lt;='Launch flag &amp; Life-Cycle Factor'!$E$6),'Launch flag &amp; Life-Cycle Factor'!$I$6, "-")))))))))))))))))))</f>
        <v>-</v>
      </c>
      <c r="R39" s="664" t="str">
        <f t="shared" si="0"/>
        <v>-</v>
      </c>
      <c r="S39" s="665" t="str">
        <f t="shared" si="1"/>
        <v>-</v>
      </c>
      <c r="T39" s="631" t="str">
        <f t="shared" si="2"/>
        <v>-</v>
      </c>
      <c r="U39" s="632" t="str">
        <f t="shared" si="3"/>
        <v>-</v>
      </c>
      <c r="V39" s="839" t="str">
        <f t="shared" si="4"/>
        <v>-</v>
      </c>
      <c r="W39" s="840" t="str">
        <f t="shared" si="5"/>
        <v>-</v>
      </c>
      <c r="X39" s="863" t="s">
        <v>1177</v>
      </c>
    </row>
    <row r="40" spans="2:24" x14ac:dyDescent="0.35">
      <c r="B40" s="186" t="s">
        <v>43</v>
      </c>
      <c r="C40" s="192" t="s">
        <v>348</v>
      </c>
      <c r="D40" s="206" t="str">
        <f>IF(AND($E40&gt;='Launch flag &amp; Life-Cycle Factor'!$F$24, $E40&lt;='Launch flag &amp; Life-Cycle Factor'!$E$24),'Launch flag &amp; Life-Cycle Factor'!$B$24, IF(AND($E40&gt;='Launch flag &amp; Life-Cycle Factor'!$F$23, $E40&lt;='Launch flag &amp; Life-Cycle Factor'!$E$23),'Launch flag &amp; Life-Cycle Factor'!$B$23, IF(AND($E40&gt;='Launch flag &amp; Life-Cycle Factor'!$F$22, $E40&lt;='Launch flag &amp; Life-Cycle Factor'!$E$22),'Launch flag &amp; Life-Cycle Factor'!$B$22, IF(AND($E40&gt;='Launch flag &amp; Life-Cycle Factor'!$F$21, $E40&lt;='Launch flag &amp; Life-Cycle Factor'!$E$21),'Launch flag &amp; Life-Cycle Factor'!$B$21, IF(AND($E40&gt;='Launch flag &amp; Life-Cycle Factor'!$F$20, $E40&lt;='Launch flag &amp; Life-Cycle Factor'!$E$20),'Launch flag &amp; Life-Cycle Factor'!$B$20, IF(AND($E40&gt;='Launch flag &amp; Life-Cycle Factor'!$F$19, $E40&lt;='Launch flag &amp; Life-Cycle Factor'!$E$19),'Launch flag &amp; Life-Cycle Factor'!$B$19, IF(AND($E40&gt;='Launch flag &amp; Life-Cycle Factor'!$F$18, $E40&lt;='Launch flag &amp; Life-Cycle Factor'!$E$18),'Launch flag &amp; Life-Cycle Factor'!$B$18, IF(AND($E40&gt;='Launch flag &amp; Life-Cycle Factor'!$F$17, $E40&lt;='Launch flag &amp; Life-Cycle Factor'!$E$17),'Launch flag &amp; Life-Cycle Factor'!$B$17, IF(AND($E40&gt;='Launch flag &amp; Life-Cycle Factor'!$F$16, $E40&lt;='Launch flag &amp; Life-Cycle Factor'!$E$16),'Launch flag &amp; Life-Cycle Factor'!$B$16,IF(AND($E40&gt;='Launch flag &amp; Life-Cycle Factor'!$F$15, $E40&lt;='Launch flag &amp; Life-Cycle Factor'!$E$15),'Launch flag &amp; Life-Cycle Factor'!$B$15, IF(AND($E40&gt;='Launch flag &amp; Life-Cycle Factor'!$F$14, $E40&lt;='Launch flag &amp; Life-Cycle Factor'!$E$14),'Launch flag &amp; Life-Cycle Factor'!$B$14,IF(AND($E40&gt;='Launch flag &amp; Life-Cycle Factor'!$F$13, $E40&lt;='Launch flag &amp; Life-Cycle Factor'!$E$13),'Launch flag &amp; Life-Cycle Factor'!$B$13, IF(AND($E40&gt;='Launch flag &amp; Life-Cycle Factor'!$F$12, $E40&lt;='Launch flag &amp; Life-Cycle Factor'!$E$12),'Launch flag &amp; Life-Cycle Factor'!$B$12, IF(AND($E40&gt;='Launch flag &amp; Life-Cycle Factor'!$F$11, $E40&lt;='Launch flag &amp; Life-Cycle Factor'!$E$11),'Launch flag &amp; Life-Cycle Factor'!$B$11, IF(AND($E40&gt;='Launch flag &amp; Life-Cycle Factor'!$F$10, $E40&lt;='Launch flag &amp; Life-Cycle Factor'!$E$10),'Launch flag &amp; Life-Cycle Factor'!$B$10, IF(AND($E40&gt;='Launch flag &amp; Life-Cycle Factor'!$F$9, $E40&lt;='Launch flag &amp; Life-Cycle Factor'!$E$9),'Launch flag &amp; Life-Cycle Factor'!$B$9, IF(AND($E40&gt;='Launch flag &amp; Life-Cycle Factor'!$F$8, $E40&lt;='Launch flag &amp; Life-Cycle Factor'!$E$8),'Launch flag &amp; Life-Cycle Factor'!$B$8, IF(AND($E40&gt;='Launch flag &amp; Life-Cycle Factor'!$F$7, $E40&lt;='Launch flag &amp; Life-Cycle Factor'!$E$7),'Launch flag &amp; Life-Cycle Factor'!$B$7, IF(AND($E40&gt;='Launch flag &amp; Life-Cycle Factor'!$F$6, $E40&lt;='Launch flag &amp; Life-Cycle Factor'!$E$6),'Launch flag &amp; Life-Cycle Factor'!$B$6, "-")))))))))))))))))))</f>
        <v>Planning Year</v>
      </c>
      <c r="E40" s="219">
        <f>INDEX('NPS with launch Dates '!$J$6:$J$59,MATCH('2.  Sales Data Key &amp; Key-Lyn'!$C40,'NPS with launch Dates '!$I$6:$I$59,0))</f>
        <v>45672</v>
      </c>
      <c r="F40" s="197">
        <f>INDEX('Raw Sales Forecasting Data'!$D$11:$H$126,MATCH('2.  Sales Data Key &amp; Key-Lyn'!$C40,'Raw Sales Forecasting Data'!$C$11:$C$126,0),MATCH('2.  Sales Data Key &amp; Key-Lyn'!F$6,'Raw Sales Forecasting Data'!$D$10:$H$10,0))</f>
        <v>0</v>
      </c>
      <c r="G40" s="198">
        <f>INDEX('Raw Sales Forecasting Data'!$D$11:$H$126,MATCH('2.  Sales Data Key &amp; Key-Lyn'!$C40,'Raw Sales Forecasting Data'!$C$11:$C$126,0),MATCH('2.  Sales Data Key &amp; Key-Lyn'!G$6,'Raw Sales Forecasting Data'!$D$10:$H$10,0))</f>
        <v>0.33204299999999998</v>
      </c>
      <c r="H40" s="198">
        <f>INDEX('Raw Sales Forecasting Data'!$D$11:$H$126,MATCH('2.  Sales Data Key &amp; Key-Lyn'!$C40,'Raw Sales Forecasting Data'!$C$11:$C$126,0),MATCH('2.  Sales Data Key &amp; Key-Lyn'!H$6,'Raw Sales Forecasting Data'!$D$10:$H$10,0))</f>
        <v>121.04648899999999</v>
      </c>
      <c r="I40" s="198">
        <f>INDEX('Raw Sales Forecasting Data'!$D$11:$H$126,MATCH('2.  Sales Data Key &amp; Key-Lyn'!$C40,'Raw Sales Forecasting Data'!$C$11:$C$126,0),MATCH('2.  Sales Data Key &amp; Key-Lyn'!I$6,'Raw Sales Forecasting Data'!$D$10:$H$10,0))</f>
        <v>207.50244699999999</v>
      </c>
      <c r="J40" s="199">
        <f>INDEX('Raw Sales Forecasting Data'!$D$11:$H$126,MATCH('2.  Sales Data Key &amp; Key-Lyn'!$C40,'Raw Sales Forecasting Data'!$C$11:$C$126,0),MATCH('2.  Sales Data Key &amp; Key-Lyn'!J$6,'Raw Sales Forecasting Data'!$D$10:$H$10,0))</f>
        <v>194.780372</v>
      </c>
      <c r="K40" s="203">
        <f>INDEX('Raw Sales Forecasting Data'!$J$11:$N$126,MATCH('2.  Sales Data Key &amp; Key-Lyn'!$C40,'Raw Sales Forecasting Data'!$C$11:$C$126,0),MATCH('2.  Sales Data Key &amp; Key-Lyn'!K$6,'Raw Sales Forecasting Data'!$J$10:$N$10,0))</f>
        <v>0</v>
      </c>
      <c r="L40" s="198">
        <f>INDEX('Raw Sales Forecasting Data'!$J$11:$N$126,MATCH('2.  Sales Data Key &amp; Key-Lyn'!$C40,'Raw Sales Forecasting Data'!$C$11:$C$126,0),MATCH('2.  Sales Data Key &amp; Key-Lyn'!L$6,'Raw Sales Forecasting Data'!$J$10:$N$10,0))</f>
        <v>0.33204299999999998</v>
      </c>
      <c r="M40" s="198">
        <f>INDEX('Raw Sales Forecasting Data'!$J$11:$N$126,MATCH('2.  Sales Data Key &amp; Key-Lyn'!$C40,'Raw Sales Forecasting Data'!$C$11:$C$126,0),MATCH('2.  Sales Data Key &amp; Key-Lyn'!M$6,'Raw Sales Forecasting Data'!$J$10:$N$10,0))</f>
        <v>121.04648899999999</v>
      </c>
      <c r="N40" s="198">
        <f>INDEX('Raw Sales Forecasting Data'!$J$11:$N$126,MATCH('2.  Sales Data Key &amp; Key-Lyn'!$C40,'Raw Sales Forecasting Data'!$C$11:$C$126,0),MATCH('2.  Sales Data Key &amp; Key-Lyn'!N$6,'Raw Sales Forecasting Data'!$J$10:$N$10,0))</f>
        <v>207.50244699999999</v>
      </c>
      <c r="O40" s="238">
        <f>INDEX('Raw Sales Forecasting Data'!$J$11:$N$126,MATCH('2.  Sales Data Key &amp; Key-Lyn'!$C40,'Raw Sales Forecasting Data'!$C$11:$C$126,0),MATCH('2.  Sales Data Key &amp; Key-Lyn'!O$6,'Raw Sales Forecasting Data'!$J$10:$N$10,0))</f>
        <v>194.780372</v>
      </c>
      <c r="P40" s="240">
        <f>IF(AND($E40&gt;='Launch flag &amp; Life-Cycle Factor'!$F$24, $E40&lt;='Launch flag &amp; Life-Cycle Factor'!$E$24),'Launch flag &amp; Life-Cycle Factor'!$H$24, IF(AND($E40&gt;='Launch flag &amp; Life-Cycle Factor'!$F$23, $E40&lt;='Launch flag &amp; Life-Cycle Factor'!$E$23),'Launch flag &amp; Life-Cycle Factor'!$H$23, IF(AND($E40&gt;='Launch flag &amp; Life-Cycle Factor'!$F$22, $E40&lt;='Launch flag &amp; Life-Cycle Factor'!$E$22),'Launch flag &amp; Life-Cycle Factor'!$H$22, IF(AND($E40&gt;='Launch flag &amp; Life-Cycle Factor'!$F$21, $E40&lt;='Launch flag &amp; Life-Cycle Factor'!$E$21),'Launch flag &amp; Life-Cycle Factor'!$H$21, IF(AND($E40&gt;='Launch flag &amp; Life-Cycle Factor'!$F$20, $E40&lt;='Launch flag &amp; Life-Cycle Factor'!$E$20),'Launch flag &amp; Life-Cycle Factor'!$H$20, IF(AND($E40&gt;='Launch flag &amp; Life-Cycle Factor'!$F$19, $E40&lt;='Launch flag &amp; Life-Cycle Factor'!$E$19),'Launch flag &amp; Life-Cycle Factor'!$H$19, IF(AND($E40&gt;='Launch flag &amp; Life-Cycle Factor'!$F$18, $E40&lt;='Launch flag &amp; Life-Cycle Factor'!$E$18),'Launch flag &amp; Life-Cycle Factor'!$H$18, IF(AND($E40&gt;='Launch flag &amp; Life-Cycle Factor'!$F$17, $E40&lt;='Launch flag &amp; Life-Cycle Factor'!$E$17),'Launch flag &amp; Life-Cycle Factor'!$H$17, IF(AND($E40&gt;='Launch flag &amp; Life-Cycle Factor'!$F$16, $E40&lt;='Launch flag &amp; Life-Cycle Factor'!$E$16),'Launch flag &amp; Life-Cycle Factor'!$H$16,IF(AND($E40&gt;='Launch flag &amp; Life-Cycle Factor'!$F$15, $E40&lt;='Launch flag &amp; Life-Cycle Factor'!$E$15),'Launch flag &amp; Life-Cycle Factor'!$H$15, IF(AND($E40&gt;='Launch flag &amp; Life-Cycle Factor'!$F$14, $E40&lt;='Launch flag &amp; Life-Cycle Factor'!$E$14),'Launch flag &amp; Life-Cycle Factor'!$H$14,IF(AND($E40&gt;='Launch flag &amp; Life-Cycle Factor'!$F$13, $E40&lt;='Launch flag &amp; Life-Cycle Factor'!$E$13),'Launch flag &amp; Life-Cycle Factor'!$H$13, IF(AND($E40&gt;='Launch flag &amp; Life-Cycle Factor'!$F$12, $E40&lt;='Launch flag &amp; Life-Cycle Factor'!$E$12),'Launch flag &amp; Life-Cycle Factor'!$H$12, IF(AND($E40&gt;='Launch flag &amp; Life-Cycle Factor'!$F$11, $E40&lt;='Launch flag &amp; Life-Cycle Factor'!$E$11),'Launch flag &amp; Life-Cycle Factor'!$H$11, IF(AND($E40&gt;='Launch flag &amp; Life-Cycle Factor'!$F$10, $E40&lt;='Launch flag &amp; Life-Cycle Factor'!$E$10),'Launch flag &amp; Life-Cycle Factor'!$H$10, IF(AND($E40&gt;='Launch flag &amp; Life-Cycle Factor'!$F$9, $E40&lt;='Launch flag &amp; Life-Cycle Factor'!$E$9),'Launch flag &amp; Life-Cycle Factor'!$H$9, IF(AND($E40&gt;='Launch flag &amp; Life-Cycle Factor'!$F$8, $E40&lt;='Launch flag &amp; Life-Cycle Factor'!$E$8),'Launch flag &amp; Life-Cycle Factor'!$H$8, IF(AND($E40&gt;='Launch flag &amp; Life-Cycle Factor'!$F$7, $E40&lt;='Launch flag &amp; Life-Cycle Factor'!$E$7),'Launch flag &amp; Life-Cycle Factor'!$H$7, IF(AND($E40&gt;='Launch flag &amp; Life-Cycle Factor'!$F$6, $E40&lt;='Launch flag &amp; Life-Cycle Factor'!$E$6),'Launch flag &amp; Life-Cycle Factor'!$H$6, "-")))))))))))))))))))</f>
        <v>0</v>
      </c>
      <c r="Q40" s="655">
        <f>IF(AND($E40&gt;='Launch flag &amp; Life-Cycle Factor'!$F$24, $E40&lt;='Launch flag &amp; Life-Cycle Factor'!$E$24),'Launch flag &amp; Life-Cycle Factor'!$I$24, IF(AND($E40&gt;='Launch flag &amp; Life-Cycle Factor'!$F$23, $E40&lt;='Launch flag &amp; Life-Cycle Factor'!$E$23),'Launch flag &amp; Life-Cycle Factor'!$I$23, IF(AND($E40&gt;='Launch flag &amp; Life-Cycle Factor'!$F$22, $E40&lt;='Launch flag &amp; Life-Cycle Factor'!$E$22),'Launch flag &amp; Life-Cycle Factor'!$I$22, IF(AND($E40&gt;='Launch flag &amp; Life-Cycle Factor'!$F$21, $E40&lt;='Launch flag &amp; Life-Cycle Factor'!$E$21),'Launch flag &amp; Life-Cycle Factor'!$I$21, IF(AND($E40&gt;='Launch flag &amp; Life-Cycle Factor'!$F$20, $E40&lt;='Launch flag &amp; Life-Cycle Factor'!$E$20),'Launch flag &amp; Life-Cycle Factor'!$I$20, IF(AND($E40&gt;='Launch flag &amp; Life-Cycle Factor'!$F$19, $E40&lt;='Launch flag &amp; Life-Cycle Factor'!$E$19),'Launch flag &amp; Life-Cycle Factor'!$I$19, IF(AND($E40&gt;='Launch flag &amp; Life-Cycle Factor'!$F$18, $E40&lt;='Launch flag &amp; Life-Cycle Factor'!$E$18),'Launch flag &amp; Life-Cycle Factor'!$I$18, IF(AND($E40&gt;='Launch flag &amp; Life-Cycle Factor'!$F$17, $E40&lt;='Launch flag &amp; Life-Cycle Factor'!$E$17),'Launch flag &amp; Life-Cycle Factor'!$I$17, IF(AND($E40&gt;='Launch flag &amp; Life-Cycle Factor'!$F$16, $E40&lt;='Launch flag &amp; Life-Cycle Factor'!$E$16),'Launch flag &amp; Life-Cycle Factor'!$I$16,IF(AND($E40&gt;='Launch flag &amp; Life-Cycle Factor'!$F$15, $E40&lt;='Launch flag &amp; Life-Cycle Factor'!$E$15),'Launch flag &amp; Life-Cycle Factor'!$I$15, IF(AND($E40&gt;='Launch flag &amp; Life-Cycle Factor'!$F$14, $E40&lt;='Launch flag &amp; Life-Cycle Factor'!$E$14),'Launch flag &amp; Life-Cycle Factor'!$I$14,IF(AND($E40&gt;='Launch flag &amp; Life-Cycle Factor'!$F$13, $E40&lt;='Launch flag &amp; Life-Cycle Factor'!$E$13),'Launch flag &amp; Life-Cycle Factor'!$I$13, IF(AND($E40&gt;='Launch flag &amp; Life-Cycle Factor'!$F$12, $E40&lt;='Launch flag &amp; Life-Cycle Factor'!$E$12),'Launch flag &amp; Life-Cycle Factor'!$I$12, IF(AND($E40&gt;='Launch flag &amp; Life-Cycle Factor'!$F$11, $E40&lt;='Launch flag &amp; Life-Cycle Factor'!$E$11),'Launch flag &amp; Life-Cycle Factor'!$I$11, IF(AND($E40&gt;='Launch flag &amp; Life-Cycle Factor'!$F$10, $E40&lt;='Launch flag &amp; Life-Cycle Factor'!$E$10),'Launch flag &amp; Life-Cycle Factor'!$I$10, IF(AND($E40&gt;='Launch flag &amp; Life-Cycle Factor'!$F$9, $E40&lt;='Launch flag &amp; Life-Cycle Factor'!$E$9),'Launch flag &amp; Life-Cycle Factor'!$I$9, IF(AND($E40&gt;='Launch flag &amp; Life-Cycle Factor'!$F$8, $E40&lt;='Launch flag &amp; Life-Cycle Factor'!$E$8),'Launch flag &amp; Life-Cycle Factor'!$I$8, IF(AND($E40&gt;='Launch flag &amp; Life-Cycle Factor'!$F$7, $E40&lt;='Launch flag &amp; Life-Cycle Factor'!$E$7),'Launch flag &amp; Life-Cycle Factor'!$I$7, IF(AND($E40&gt;='Launch flag &amp; Life-Cycle Factor'!$F$6, $E40&lt;='Launch flag &amp; Life-Cycle Factor'!$E$6),'Launch flag &amp; Life-Cycle Factor'!$I$6, "-")))))))))))))))))))</f>
        <v>1</v>
      </c>
      <c r="R40" s="662">
        <f t="shared" si="0"/>
        <v>0</v>
      </c>
      <c r="S40" s="663">
        <f t="shared" si="1"/>
        <v>121.04648899999999</v>
      </c>
      <c r="T40" s="242">
        <f t="shared" si="2"/>
        <v>0</v>
      </c>
      <c r="U40" s="243">
        <f t="shared" si="3"/>
        <v>121.04648899999999</v>
      </c>
      <c r="V40" s="837">
        <f t="shared" si="4"/>
        <v>121.04648899999999</v>
      </c>
      <c r="W40" s="838">
        <f t="shared" si="5"/>
        <v>121.04648899999999</v>
      </c>
      <c r="X40" s="672"/>
    </row>
    <row r="41" spans="2:24" x14ac:dyDescent="0.35">
      <c r="B41" s="186" t="s">
        <v>43</v>
      </c>
      <c r="C41" s="192" t="s">
        <v>349</v>
      </c>
      <c r="D41" s="206" t="str">
        <f>IF(AND($E41&gt;='Launch flag &amp; Life-Cycle Factor'!$F$24, $E41&lt;='Launch flag &amp; Life-Cycle Factor'!$E$24),'Launch flag &amp; Life-Cycle Factor'!$B$24, IF(AND($E41&gt;='Launch flag &amp; Life-Cycle Factor'!$F$23, $E41&lt;='Launch flag &amp; Life-Cycle Factor'!$E$23),'Launch flag &amp; Life-Cycle Factor'!$B$23, IF(AND($E41&gt;='Launch flag &amp; Life-Cycle Factor'!$F$22, $E41&lt;='Launch flag &amp; Life-Cycle Factor'!$E$22),'Launch flag &amp; Life-Cycle Factor'!$B$22, IF(AND($E41&gt;='Launch flag &amp; Life-Cycle Factor'!$F$21, $E41&lt;='Launch flag &amp; Life-Cycle Factor'!$E$21),'Launch flag &amp; Life-Cycle Factor'!$B$21, IF(AND($E41&gt;='Launch flag &amp; Life-Cycle Factor'!$F$20, $E41&lt;='Launch flag &amp; Life-Cycle Factor'!$E$20),'Launch flag &amp; Life-Cycle Factor'!$B$20, IF(AND($E41&gt;='Launch flag &amp; Life-Cycle Factor'!$F$19, $E41&lt;='Launch flag &amp; Life-Cycle Factor'!$E$19),'Launch flag &amp; Life-Cycle Factor'!$B$19, IF(AND($E41&gt;='Launch flag &amp; Life-Cycle Factor'!$F$18, $E41&lt;='Launch flag &amp; Life-Cycle Factor'!$E$18),'Launch flag &amp; Life-Cycle Factor'!$B$18, IF(AND($E41&gt;='Launch flag &amp; Life-Cycle Factor'!$F$17, $E41&lt;='Launch flag &amp; Life-Cycle Factor'!$E$17),'Launch flag &amp; Life-Cycle Factor'!$B$17, IF(AND($E41&gt;='Launch flag &amp; Life-Cycle Factor'!$F$16, $E41&lt;='Launch flag &amp; Life-Cycle Factor'!$E$16),'Launch flag &amp; Life-Cycle Factor'!$B$16,IF(AND($E41&gt;='Launch flag &amp; Life-Cycle Factor'!$F$15, $E41&lt;='Launch flag &amp; Life-Cycle Factor'!$E$15),'Launch flag &amp; Life-Cycle Factor'!$B$15, IF(AND($E41&gt;='Launch flag &amp; Life-Cycle Factor'!$F$14, $E41&lt;='Launch flag &amp; Life-Cycle Factor'!$E$14),'Launch flag &amp; Life-Cycle Factor'!$B$14,IF(AND($E41&gt;='Launch flag &amp; Life-Cycle Factor'!$F$13, $E41&lt;='Launch flag &amp; Life-Cycle Factor'!$E$13),'Launch flag &amp; Life-Cycle Factor'!$B$13, IF(AND($E41&gt;='Launch flag &amp; Life-Cycle Factor'!$F$12, $E41&lt;='Launch flag &amp; Life-Cycle Factor'!$E$12),'Launch flag &amp; Life-Cycle Factor'!$B$12, IF(AND($E41&gt;='Launch flag &amp; Life-Cycle Factor'!$F$11, $E41&lt;='Launch flag &amp; Life-Cycle Factor'!$E$11),'Launch flag &amp; Life-Cycle Factor'!$B$11, IF(AND($E41&gt;='Launch flag &amp; Life-Cycle Factor'!$F$10, $E41&lt;='Launch flag &amp; Life-Cycle Factor'!$E$10),'Launch flag &amp; Life-Cycle Factor'!$B$10, IF(AND($E41&gt;='Launch flag &amp; Life-Cycle Factor'!$F$9, $E41&lt;='Launch flag &amp; Life-Cycle Factor'!$E$9),'Launch flag &amp; Life-Cycle Factor'!$B$9, IF(AND($E41&gt;='Launch flag &amp; Life-Cycle Factor'!$F$8, $E41&lt;='Launch flag &amp; Life-Cycle Factor'!$E$8),'Launch flag &amp; Life-Cycle Factor'!$B$8, IF(AND($E41&gt;='Launch flag &amp; Life-Cycle Factor'!$F$7, $E41&lt;='Launch flag &amp; Life-Cycle Factor'!$E$7),'Launch flag &amp; Life-Cycle Factor'!$B$7, IF(AND($E41&gt;='Launch flag &amp; Life-Cycle Factor'!$F$6, $E41&lt;='Launch flag &amp; Life-Cycle Factor'!$E$6),'Launch flag &amp; Life-Cycle Factor'!$B$6, "-")))))))))))))))))))</f>
        <v>Future Launch</v>
      </c>
      <c r="E41" s="219">
        <f>INDEX('NPS with launch Dates '!$J$6:$J$59,MATCH('2.  Sales Data Key &amp; Key-Lyn'!$C41,'NPS with launch Dates '!$I$6:$I$59,0))</f>
        <v>45871</v>
      </c>
      <c r="F41" s="197">
        <f>INDEX('Raw Sales Forecasting Data'!$D$11:$H$126,MATCH('2.  Sales Data Key &amp; Key-Lyn'!$C41,'Raw Sales Forecasting Data'!$C$11:$C$126,0),MATCH('2.  Sales Data Key &amp; Key-Lyn'!F$6,'Raw Sales Forecasting Data'!$D$10:$H$10,0))</f>
        <v>0</v>
      </c>
      <c r="G41" s="198">
        <f>INDEX('Raw Sales Forecasting Data'!$D$11:$H$126,MATCH('2.  Sales Data Key &amp; Key-Lyn'!$C41,'Raw Sales Forecasting Data'!$C$11:$C$126,0),MATCH('2.  Sales Data Key &amp; Key-Lyn'!G$6,'Raw Sales Forecasting Data'!$D$10:$H$10,0))</f>
        <v>0</v>
      </c>
      <c r="H41" s="198">
        <f>INDEX('Raw Sales Forecasting Data'!$D$11:$H$126,MATCH('2.  Sales Data Key &amp; Key-Lyn'!$C41,'Raw Sales Forecasting Data'!$C$11:$C$126,0),MATCH('2.  Sales Data Key &amp; Key-Lyn'!H$6,'Raw Sales Forecasting Data'!$D$10:$H$10,0))</f>
        <v>3.3730169999999999</v>
      </c>
      <c r="I41" s="198">
        <f>INDEX('Raw Sales Forecasting Data'!$D$11:$H$126,MATCH('2.  Sales Data Key &amp; Key-Lyn'!$C41,'Raw Sales Forecasting Data'!$C$11:$C$126,0),MATCH('2.  Sales Data Key &amp; Key-Lyn'!I$6,'Raw Sales Forecasting Data'!$D$10:$H$10,0))</f>
        <v>57.856475000000003</v>
      </c>
      <c r="J41" s="199">
        <f>INDEX('Raw Sales Forecasting Data'!$D$11:$H$126,MATCH('2.  Sales Data Key &amp; Key-Lyn'!$C41,'Raw Sales Forecasting Data'!$C$11:$C$126,0),MATCH('2.  Sales Data Key &amp; Key-Lyn'!J$6,'Raw Sales Forecasting Data'!$D$10:$H$10,0))</f>
        <v>95.460638000000003</v>
      </c>
      <c r="K41" s="203">
        <f>INDEX('Raw Sales Forecasting Data'!$J$11:$N$126,MATCH('2.  Sales Data Key &amp; Key-Lyn'!$C41,'Raw Sales Forecasting Data'!$C$11:$C$126,0),MATCH('2.  Sales Data Key &amp; Key-Lyn'!K$6,'Raw Sales Forecasting Data'!$J$10:$N$10,0))</f>
        <v>0</v>
      </c>
      <c r="L41" s="198">
        <f>INDEX('Raw Sales Forecasting Data'!$J$11:$N$126,MATCH('2.  Sales Data Key &amp; Key-Lyn'!$C41,'Raw Sales Forecasting Data'!$C$11:$C$126,0),MATCH('2.  Sales Data Key &amp; Key-Lyn'!L$6,'Raw Sales Forecasting Data'!$J$10:$N$10,0))</f>
        <v>0</v>
      </c>
      <c r="M41" s="198">
        <f>INDEX('Raw Sales Forecasting Data'!$J$11:$N$126,MATCH('2.  Sales Data Key &amp; Key-Lyn'!$C41,'Raw Sales Forecasting Data'!$C$11:$C$126,0),MATCH('2.  Sales Data Key &amp; Key-Lyn'!M$6,'Raw Sales Forecasting Data'!$J$10:$N$10,0))</f>
        <v>3.3730169999999999</v>
      </c>
      <c r="N41" s="198">
        <f>INDEX('Raw Sales Forecasting Data'!$J$11:$N$126,MATCH('2.  Sales Data Key &amp; Key-Lyn'!$C41,'Raw Sales Forecasting Data'!$C$11:$C$126,0),MATCH('2.  Sales Data Key &amp; Key-Lyn'!N$6,'Raw Sales Forecasting Data'!$J$10:$N$10,0))</f>
        <v>57.856475000000003</v>
      </c>
      <c r="O41" s="238">
        <f>INDEX('Raw Sales Forecasting Data'!$J$11:$N$126,MATCH('2.  Sales Data Key &amp; Key-Lyn'!$C41,'Raw Sales Forecasting Data'!$C$11:$C$126,0),MATCH('2.  Sales Data Key &amp; Key-Lyn'!O$6,'Raw Sales Forecasting Data'!$J$10:$N$10,0))</f>
        <v>95.460638000000003</v>
      </c>
      <c r="P41" s="240">
        <f>IF(AND($E41&gt;='Launch flag &amp; Life-Cycle Factor'!$F$24, $E41&lt;='Launch flag &amp; Life-Cycle Factor'!$E$24),'Launch flag &amp; Life-Cycle Factor'!$H$24, IF(AND($E41&gt;='Launch flag &amp; Life-Cycle Factor'!$F$23, $E41&lt;='Launch flag &amp; Life-Cycle Factor'!$E$23),'Launch flag &amp; Life-Cycle Factor'!$H$23, IF(AND($E41&gt;='Launch flag &amp; Life-Cycle Factor'!$F$22, $E41&lt;='Launch flag &amp; Life-Cycle Factor'!$E$22),'Launch flag &amp; Life-Cycle Factor'!$H$22, IF(AND($E41&gt;='Launch flag &amp; Life-Cycle Factor'!$F$21, $E41&lt;='Launch flag &amp; Life-Cycle Factor'!$E$21),'Launch flag &amp; Life-Cycle Factor'!$H$21, IF(AND($E41&gt;='Launch flag &amp; Life-Cycle Factor'!$F$20, $E41&lt;='Launch flag &amp; Life-Cycle Factor'!$E$20),'Launch flag &amp; Life-Cycle Factor'!$H$20, IF(AND($E41&gt;='Launch flag &amp; Life-Cycle Factor'!$F$19, $E41&lt;='Launch flag &amp; Life-Cycle Factor'!$E$19),'Launch flag &amp; Life-Cycle Factor'!$H$19, IF(AND($E41&gt;='Launch flag &amp; Life-Cycle Factor'!$F$18, $E41&lt;='Launch flag &amp; Life-Cycle Factor'!$E$18),'Launch flag &amp; Life-Cycle Factor'!$H$18, IF(AND($E41&gt;='Launch flag &amp; Life-Cycle Factor'!$F$17, $E41&lt;='Launch flag &amp; Life-Cycle Factor'!$E$17),'Launch flag &amp; Life-Cycle Factor'!$H$17, IF(AND($E41&gt;='Launch flag &amp; Life-Cycle Factor'!$F$16, $E41&lt;='Launch flag &amp; Life-Cycle Factor'!$E$16),'Launch flag &amp; Life-Cycle Factor'!$H$16,IF(AND($E41&gt;='Launch flag &amp; Life-Cycle Factor'!$F$15, $E41&lt;='Launch flag &amp; Life-Cycle Factor'!$E$15),'Launch flag &amp; Life-Cycle Factor'!$H$15, IF(AND($E41&gt;='Launch flag &amp; Life-Cycle Factor'!$F$14, $E41&lt;='Launch flag &amp; Life-Cycle Factor'!$E$14),'Launch flag &amp; Life-Cycle Factor'!$H$14,IF(AND($E41&gt;='Launch flag &amp; Life-Cycle Factor'!$F$13, $E41&lt;='Launch flag &amp; Life-Cycle Factor'!$E$13),'Launch flag &amp; Life-Cycle Factor'!$H$13, IF(AND($E41&gt;='Launch flag &amp; Life-Cycle Factor'!$F$12, $E41&lt;='Launch flag &amp; Life-Cycle Factor'!$E$12),'Launch flag &amp; Life-Cycle Factor'!$H$12, IF(AND($E41&gt;='Launch flag &amp; Life-Cycle Factor'!$F$11, $E41&lt;='Launch flag &amp; Life-Cycle Factor'!$E$11),'Launch flag &amp; Life-Cycle Factor'!$H$11, IF(AND($E41&gt;='Launch flag &amp; Life-Cycle Factor'!$F$10, $E41&lt;='Launch flag &amp; Life-Cycle Factor'!$E$10),'Launch flag &amp; Life-Cycle Factor'!$H$10, IF(AND($E41&gt;='Launch flag &amp; Life-Cycle Factor'!$F$9, $E41&lt;='Launch flag &amp; Life-Cycle Factor'!$E$9),'Launch flag &amp; Life-Cycle Factor'!$H$9, IF(AND($E41&gt;='Launch flag &amp; Life-Cycle Factor'!$F$8, $E41&lt;='Launch flag &amp; Life-Cycle Factor'!$E$8),'Launch flag &amp; Life-Cycle Factor'!$H$8, IF(AND($E41&gt;='Launch flag &amp; Life-Cycle Factor'!$F$7, $E41&lt;='Launch flag &amp; Life-Cycle Factor'!$E$7),'Launch flag &amp; Life-Cycle Factor'!$H$7, IF(AND($E41&gt;='Launch flag &amp; Life-Cycle Factor'!$F$6, $E41&lt;='Launch flag &amp; Life-Cycle Factor'!$E$6),'Launch flag &amp; Life-Cycle Factor'!$H$6, "-")))))))))))))))))))</f>
        <v>0</v>
      </c>
      <c r="Q41" s="655">
        <f>IF(AND($E41&gt;='Launch flag &amp; Life-Cycle Factor'!$F$24, $E41&lt;='Launch flag &amp; Life-Cycle Factor'!$E$24),'Launch flag &amp; Life-Cycle Factor'!$I$24, IF(AND($E41&gt;='Launch flag &amp; Life-Cycle Factor'!$F$23, $E41&lt;='Launch flag &amp; Life-Cycle Factor'!$E$23),'Launch flag &amp; Life-Cycle Factor'!$I$23, IF(AND($E41&gt;='Launch flag &amp; Life-Cycle Factor'!$F$22, $E41&lt;='Launch flag &amp; Life-Cycle Factor'!$E$22),'Launch flag &amp; Life-Cycle Factor'!$I$22, IF(AND($E41&gt;='Launch flag &amp; Life-Cycle Factor'!$F$21, $E41&lt;='Launch flag &amp; Life-Cycle Factor'!$E$21),'Launch flag &amp; Life-Cycle Factor'!$I$21, IF(AND($E41&gt;='Launch flag &amp; Life-Cycle Factor'!$F$20, $E41&lt;='Launch flag &amp; Life-Cycle Factor'!$E$20),'Launch flag &amp; Life-Cycle Factor'!$I$20, IF(AND($E41&gt;='Launch flag &amp; Life-Cycle Factor'!$F$19, $E41&lt;='Launch flag &amp; Life-Cycle Factor'!$E$19),'Launch flag &amp; Life-Cycle Factor'!$I$19, IF(AND($E41&gt;='Launch flag &amp; Life-Cycle Factor'!$F$18, $E41&lt;='Launch flag &amp; Life-Cycle Factor'!$E$18),'Launch flag &amp; Life-Cycle Factor'!$I$18, IF(AND($E41&gt;='Launch flag &amp; Life-Cycle Factor'!$F$17, $E41&lt;='Launch flag &amp; Life-Cycle Factor'!$E$17),'Launch flag &amp; Life-Cycle Factor'!$I$17, IF(AND($E41&gt;='Launch flag &amp; Life-Cycle Factor'!$F$16, $E41&lt;='Launch flag &amp; Life-Cycle Factor'!$E$16),'Launch flag &amp; Life-Cycle Factor'!$I$16,IF(AND($E41&gt;='Launch flag &amp; Life-Cycle Factor'!$F$15, $E41&lt;='Launch flag &amp; Life-Cycle Factor'!$E$15),'Launch flag &amp; Life-Cycle Factor'!$I$15, IF(AND($E41&gt;='Launch flag &amp; Life-Cycle Factor'!$F$14, $E41&lt;='Launch flag &amp; Life-Cycle Factor'!$E$14),'Launch flag &amp; Life-Cycle Factor'!$I$14,IF(AND($E41&gt;='Launch flag &amp; Life-Cycle Factor'!$F$13, $E41&lt;='Launch flag &amp; Life-Cycle Factor'!$E$13),'Launch flag &amp; Life-Cycle Factor'!$I$13, IF(AND($E41&gt;='Launch flag &amp; Life-Cycle Factor'!$F$12, $E41&lt;='Launch flag &amp; Life-Cycle Factor'!$E$12),'Launch flag &amp; Life-Cycle Factor'!$I$12, IF(AND($E41&gt;='Launch flag &amp; Life-Cycle Factor'!$F$11, $E41&lt;='Launch flag &amp; Life-Cycle Factor'!$E$11),'Launch flag &amp; Life-Cycle Factor'!$I$11, IF(AND($E41&gt;='Launch flag &amp; Life-Cycle Factor'!$F$10, $E41&lt;='Launch flag &amp; Life-Cycle Factor'!$E$10),'Launch flag &amp; Life-Cycle Factor'!$I$10, IF(AND($E41&gt;='Launch flag &amp; Life-Cycle Factor'!$F$9, $E41&lt;='Launch flag &amp; Life-Cycle Factor'!$E$9),'Launch flag &amp; Life-Cycle Factor'!$I$9, IF(AND($E41&gt;='Launch flag &amp; Life-Cycle Factor'!$F$8, $E41&lt;='Launch flag &amp; Life-Cycle Factor'!$E$8),'Launch flag &amp; Life-Cycle Factor'!$I$8, IF(AND($E41&gt;='Launch flag &amp; Life-Cycle Factor'!$F$7, $E41&lt;='Launch flag &amp; Life-Cycle Factor'!$E$7),'Launch flag &amp; Life-Cycle Factor'!$I$7, IF(AND($E41&gt;='Launch flag &amp; Life-Cycle Factor'!$F$6, $E41&lt;='Launch flag &amp; Life-Cycle Factor'!$E$6),'Launch flag &amp; Life-Cycle Factor'!$I$6, "-")))))))))))))))))))</f>
        <v>0.7</v>
      </c>
      <c r="R41" s="662">
        <f t="shared" si="0"/>
        <v>0</v>
      </c>
      <c r="S41" s="663">
        <f t="shared" si="1"/>
        <v>2.3611118999999996</v>
      </c>
      <c r="T41" s="242">
        <f t="shared" si="2"/>
        <v>0</v>
      </c>
      <c r="U41" s="243">
        <f t="shared" si="3"/>
        <v>2.3611118999999996</v>
      </c>
      <c r="V41" s="837">
        <f t="shared" si="4"/>
        <v>2.3611118999999996</v>
      </c>
      <c r="W41" s="838">
        <f t="shared" si="5"/>
        <v>2.3611118999999996</v>
      </c>
      <c r="X41" s="672"/>
    </row>
    <row r="42" spans="2:24" x14ac:dyDescent="0.35">
      <c r="B42" s="186" t="s">
        <v>43</v>
      </c>
      <c r="C42" s="192" t="s">
        <v>350</v>
      </c>
      <c r="D42" s="206" t="str">
        <f>IF(AND($E42&gt;='Launch flag &amp; Life-Cycle Factor'!$F$24, $E42&lt;='Launch flag &amp; Life-Cycle Factor'!$E$24),'Launch flag &amp; Life-Cycle Factor'!$B$24, IF(AND($E42&gt;='Launch flag &amp; Life-Cycle Factor'!$F$23, $E42&lt;='Launch flag &amp; Life-Cycle Factor'!$E$23),'Launch flag &amp; Life-Cycle Factor'!$B$23, IF(AND($E42&gt;='Launch flag &amp; Life-Cycle Factor'!$F$22, $E42&lt;='Launch flag &amp; Life-Cycle Factor'!$E$22),'Launch flag &amp; Life-Cycle Factor'!$B$22, IF(AND($E42&gt;='Launch flag &amp; Life-Cycle Factor'!$F$21, $E42&lt;='Launch flag &amp; Life-Cycle Factor'!$E$21),'Launch flag &amp; Life-Cycle Factor'!$B$21, IF(AND($E42&gt;='Launch flag &amp; Life-Cycle Factor'!$F$20, $E42&lt;='Launch flag &amp; Life-Cycle Factor'!$E$20),'Launch flag &amp; Life-Cycle Factor'!$B$20, IF(AND($E42&gt;='Launch flag &amp; Life-Cycle Factor'!$F$19, $E42&lt;='Launch flag &amp; Life-Cycle Factor'!$E$19),'Launch flag &amp; Life-Cycle Factor'!$B$19, IF(AND($E42&gt;='Launch flag &amp; Life-Cycle Factor'!$F$18, $E42&lt;='Launch flag &amp; Life-Cycle Factor'!$E$18),'Launch flag &amp; Life-Cycle Factor'!$B$18, IF(AND($E42&gt;='Launch flag &amp; Life-Cycle Factor'!$F$17, $E42&lt;='Launch flag &amp; Life-Cycle Factor'!$E$17),'Launch flag &amp; Life-Cycle Factor'!$B$17, IF(AND($E42&gt;='Launch flag &amp; Life-Cycle Factor'!$F$16, $E42&lt;='Launch flag &amp; Life-Cycle Factor'!$E$16),'Launch flag &amp; Life-Cycle Factor'!$B$16,IF(AND($E42&gt;='Launch flag &amp; Life-Cycle Factor'!$F$15, $E42&lt;='Launch flag &amp; Life-Cycle Factor'!$E$15),'Launch flag &amp; Life-Cycle Factor'!$B$15, IF(AND($E42&gt;='Launch flag &amp; Life-Cycle Factor'!$F$14, $E42&lt;='Launch flag &amp; Life-Cycle Factor'!$E$14),'Launch flag &amp; Life-Cycle Factor'!$B$14,IF(AND($E42&gt;='Launch flag &amp; Life-Cycle Factor'!$F$13, $E42&lt;='Launch flag &amp; Life-Cycle Factor'!$E$13),'Launch flag &amp; Life-Cycle Factor'!$B$13, IF(AND($E42&gt;='Launch flag &amp; Life-Cycle Factor'!$F$12, $E42&lt;='Launch flag &amp; Life-Cycle Factor'!$E$12),'Launch flag &amp; Life-Cycle Factor'!$B$12, IF(AND($E42&gt;='Launch flag &amp; Life-Cycle Factor'!$F$11, $E42&lt;='Launch flag &amp; Life-Cycle Factor'!$E$11),'Launch flag &amp; Life-Cycle Factor'!$B$11, IF(AND($E42&gt;='Launch flag &amp; Life-Cycle Factor'!$F$10, $E42&lt;='Launch flag &amp; Life-Cycle Factor'!$E$10),'Launch flag &amp; Life-Cycle Factor'!$B$10, IF(AND($E42&gt;='Launch flag &amp; Life-Cycle Factor'!$F$9, $E42&lt;='Launch flag &amp; Life-Cycle Factor'!$E$9),'Launch flag &amp; Life-Cycle Factor'!$B$9, IF(AND($E42&gt;='Launch flag &amp; Life-Cycle Factor'!$F$8, $E42&lt;='Launch flag &amp; Life-Cycle Factor'!$E$8),'Launch flag &amp; Life-Cycle Factor'!$B$8, IF(AND($E42&gt;='Launch flag &amp; Life-Cycle Factor'!$F$7, $E42&lt;='Launch flag &amp; Life-Cycle Factor'!$E$7),'Launch flag &amp; Life-Cycle Factor'!$B$7, IF(AND($E42&gt;='Launch flag &amp; Life-Cycle Factor'!$F$6, $E42&lt;='Launch flag &amp; Life-Cycle Factor'!$E$6),'Launch flag &amp; Life-Cycle Factor'!$B$6, "-")))))))))))))))))))</f>
        <v>Future Launch</v>
      </c>
      <c r="E42" s="219">
        <f>INDEX('NPS with launch Dates '!$J$6:$J$59,MATCH('2.  Sales Data Key &amp; Key-Lyn'!$C42,'NPS with launch Dates '!$I$6:$I$59,0))</f>
        <v>45963</v>
      </c>
      <c r="F42" s="197">
        <f>INDEX('Raw Sales Forecasting Data'!$D$11:$H$126,MATCH('2.  Sales Data Key &amp; Key-Lyn'!$C42,'Raw Sales Forecasting Data'!$C$11:$C$126,0),MATCH('2.  Sales Data Key &amp; Key-Lyn'!F$6,'Raw Sales Forecasting Data'!$D$10:$H$10,0))</f>
        <v>0</v>
      </c>
      <c r="G42" s="198">
        <f>INDEX('Raw Sales Forecasting Data'!$D$11:$H$126,MATCH('2.  Sales Data Key &amp; Key-Lyn'!$C42,'Raw Sales Forecasting Data'!$C$11:$C$126,0),MATCH('2.  Sales Data Key &amp; Key-Lyn'!G$6,'Raw Sales Forecasting Data'!$D$10:$H$10,0))</f>
        <v>0</v>
      </c>
      <c r="H42" s="198">
        <f>INDEX('Raw Sales Forecasting Data'!$D$11:$H$126,MATCH('2.  Sales Data Key &amp; Key-Lyn'!$C42,'Raw Sales Forecasting Data'!$C$11:$C$126,0),MATCH('2.  Sales Data Key &amp; Key-Lyn'!H$6,'Raw Sales Forecasting Data'!$D$10:$H$10,0))</f>
        <v>0.77639599999999998</v>
      </c>
      <c r="I42" s="198">
        <f>INDEX('Raw Sales Forecasting Data'!$D$11:$H$126,MATCH('2.  Sales Data Key &amp; Key-Lyn'!$C42,'Raw Sales Forecasting Data'!$C$11:$C$126,0),MATCH('2.  Sales Data Key &amp; Key-Lyn'!I$6,'Raw Sales Forecasting Data'!$D$10:$H$10,0))</f>
        <v>93.898618999999997</v>
      </c>
      <c r="J42" s="199">
        <f>INDEX('Raw Sales Forecasting Data'!$D$11:$H$126,MATCH('2.  Sales Data Key &amp; Key-Lyn'!$C42,'Raw Sales Forecasting Data'!$C$11:$C$126,0),MATCH('2.  Sales Data Key &amp; Key-Lyn'!J$6,'Raw Sales Forecasting Data'!$D$10:$H$10,0))</f>
        <v>229.392706</v>
      </c>
      <c r="K42" s="203">
        <f>INDEX('Raw Sales Forecasting Data'!$J$11:$N$126,MATCH('2.  Sales Data Key &amp; Key-Lyn'!$C42,'Raw Sales Forecasting Data'!$C$11:$C$126,0),MATCH('2.  Sales Data Key &amp; Key-Lyn'!K$6,'Raw Sales Forecasting Data'!$J$10:$N$10,0))</f>
        <v>0</v>
      </c>
      <c r="L42" s="198">
        <f>INDEX('Raw Sales Forecasting Data'!$J$11:$N$126,MATCH('2.  Sales Data Key &amp; Key-Lyn'!$C42,'Raw Sales Forecasting Data'!$C$11:$C$126,0),MATCH('2.  Sales Data Key &amp; Key-Lyn'!L$6,'Raw Sales Forecasting Data'!$J$10:$N$10,0))</f>
        <v>0</v>
      </c>
      <c r="M42" s="198">
        <f>INDEX('Raw Sales Forecasting Data'!$J$11:$N$126,MATCH('2.  Sales Data Key &amp; Key-Lyn'!$C42,'Raw Sales Forecasting Data'!$C$11:$C$126,0),MATCH('2.  Sales Data Key &amp; Key-Lyn'!M$6,'Raw Sales Forecasting Data'!$J$10:$N$10,0))</f>
        <v>0.77639599999999998</v>
      </c>
      <c r="N42" s="198">
        <f>INDEX('Raw Sales Forecasting Data'!$J$11:$N$126,MATCH('2.  Sales Data Key &amp; Key-Lyn'!$C42,'Raw Sales Forecasting Data'!$C$11:$C$126,0),MATCH('2.  Sales Data Key &amp; Key-Lyn'!N$6,'Raw Sales Forecasting Data'!$J$10:$N$10,0))</f>
        <v>93.898618999999997</v>
      </c>
      <c r="O42" s="238">
        <f>INDEX('Raw Sales Forecasting Data'!$J$11:$N$126,MATCH('2.  Sales Data Key &amp; Key-Lyn'!$C42,'Raw Sales Forecasting Data'!$C$11:$C$126,0),MATCH('2.  Sales Data Key &amp; Key-Lyn'!O$6,'Raw Sales Forecasting Data'!$J$10:$N$10,0))</f>
        <v>229.392706</v>
      </c>
      <c r="P42" s="240">
        <f>IF(AND($E42&gt;='Launch flag &amp; Life-Cycle Factor'!$F$24, $E42&lt;='Launch flag &amp; Life-Cycle Factor'!$E$24),'Launch flag &amp; Life-Cycle Factor'!$H$24, IF(AND($E42&gt;='Launch flag &amp; Life-Cycle Factor'!$F$23, $E42&lt;='Launch flag &amp; Life-Cycle Factor'!$E$23),'Launch flag &amp; Life-Cycle Factor'!$H$23, IF(AND($E42&gt;='Launch flag &amp; Life-Cycle Factor'!$F$22, $E42&lt;='Launch flag &amp; Life-Cycle Factor'!$E$22),'Launch flag &amp; Life-Cycle Factor'!$H$22, IF(AND($E42&gt;='Launch flag &amp; Life-Cycle Factor'!$F$21, $E42&lt;='Launch flag &amp; Life-Cycle Factor'!$E$21),'Launch flag &amp; Life-Cycle Factor'!$H$21, IF(AND($E42&gt;='Launch flag &amp; Life-Cycle Factor'!$F$20, $E42&lt;='Launch flag &amp; Life-Cycle Factor'!$E$20),'Launch flag &amp; Life-Cycle Factor'!$H$20, IF(AND($E42&gt;='Launch flag &amp; Life-Cycle Factor'!$F$19, $E42&lt;='Launch flag &amp; Life-Cycle Factor'!$E$19),'Launch flag &amp; Life-Cycle Factor'!$H$19, IF(AND($E42&gt;='Launch flag &amp; Life-Cycle Factor'!$F$18, $E42&lt;='Launch flag &amp; Life-Cycle Factor'!$E$18),'Launch flag &amp; Life-Cycle Factor'!$H$18, IF(AND($E42&gt;='Launch flag &amp; Life-Cycle Factor'!$F$17, $E42&lt;='Launch flag &amp; Life-Cycle Factor'!$E$17),'Launch flag &amp; Life-Cycle Factor'!$H$17, IF(AND($E42&gt;='Launch flag &amp; Life-Cycle Factor'!$F$16, $E42&lt;='Launch flag &amp; Life-Cycle Factor'!$E$16),'Launch flag &amp; Life-Cycle Factor'!$H$16,IF(AND($E42&gt;='Launch flag &amp; Life-Cycle Factor'!$F$15, $E42&lt;='Launch flag &amp; Life-Cycle Factor'!$E$15),'Launch flag &amp; Life-Cycle Factor'!$H$15, IF(AND($E42&gt;='Launch flag &amp; Life-Cycle Factor'!$F$14, $E42&lt;='Launch flag &amp; Life-Cycle Factor'!$E$14),'Launch flag &amp; Life-Cycle Factor'!$H$14,IF(AND($E42&gt;='Launch flag &amp; Life-Cycle Factor'!$F$13, $E42&lt;='Launch flag &amp; Life-Cycle Factor'!$E$13),'Launch flag &amp; Life-Cycle Factor'!$H$13, IF(AND($E42&gt;='Launch flag &amp; Life-Cycle Factor'!$F$12, $E42&lt;='Launch flag &amp; Life-Cycle Factor'!$E$12),'Launch flag &amp; Life-Cycle Factor'!$H$12, IF(AND($E42&gt;='Launch flag &amp; Life-Cycle Factor'!$F$11, $E42&lt;='Launch flag &amp; Life-Cycle Factor'!$E$11),'Launch flag &amp; Life-Cycle Factor'!$H$11, IF(AND($E42&gt;='Launch flag &amp; Life-Cycle Factor'!$F$10, $E42&lt;='Launch flag &amp; Life-Cycle Factor'!$E$10),'Launch flag &amp; Life-Cycle Factor'!$H$10, IF(AND($E42&gt;='Launch flag &amp; Life-Cycle Factor'!$F$9, $E42&lt;='Launch flag &amp; Life-Cycle Factor'!$E$9),'Launch flag &amp; Life-Cycle Factor'!$H$9, IF(AND($E42&gt;='Launch flag &amp; Life-Cycle Factor'!$F$8, $E42&lt;='Launch flag &amp; Life-Cycle Factor'!$E$8),'Launch flag &amp; Life-Cycle Factor'!$H$8, IF(AND($E42&gt;='Launch flag &amp; Life-Cycle Factor'!$F$7, $E42&lt;='Launch flag &amp; Life-Cycle Factor'!$E$7),'Launch flag &amp; Life-Cycle Factor'!$H$7, IF(AND($E42&gt;='Launch flag &amp; Life-Cycle Factor'!$F$6, $E42&lt;='Launch flag &amp; Life-Cycle Factor'!$E$6),'Launch flag &amp; Life-Cycle Factor'!$H$6, "-")))))))))))))))))))</f>
        <v>0</v>
      </c>
      <c r="Q42" s="655">
        <f>IF(AND($E42&gt;='Launch flag &amp; Life-Cycle Factor'!$F$24, $E42&lt;='Launch flag &amp; Life-Cycle Factor'!$E$24),'Launch flag &amp; Life-Cycle Factor'!$I$24, IF(AND($E42&gt;='Launch flag &amp; Life-Cycle Factor'!$F$23, $E42&lt;='Launch flag &amp; Life-Cycle Factor'!$E$23),'Launch flag &amp; Life-Cycle Factor'!$I$23, IF(AND($E42&gt;='Launch flag &amp; Life-Cycle Factor'!$F$22, $E42&lt;='Launch flag &amp; Life-Cycle Factor'!$E$22),'Launch flag &amp; Life-Cycle Factor'!$I$22, IF(AND($E42&gt;='Launch flag &amp; Life-Cycle Factor'!$F$21, $E42&lt;='Launch flag &amp; Life-Cycle Factor'!$E$21),'Launch flag &amp; Life-Cycle Factor'!$I$21, IF(AND($E42&gt;='Launch flag &amp; Life-Cycle Factor'!$F$20, $E42&lt;='Launch flag &amp; Life-Cycle Factor'!$E$20),'Launch flag &amp; Life-Cycle Factor'!$I$20, IF(AND($E42&gt;='Launch flag &amp; Life-Cycle Factor'!$F$19, $E42&lt;='Launch flag &amp; Life-Cycle Factor'!$E$19),'Launch flag &amp; Life-Cycle Factor'!$I$19, IF(AND($E42&gt;='Launch flag &amp; Life-Cycle Factor'!$F$18, $E42&lt;='Launch flag &amp; Life-Cycle Factor'!$E$18),'Launch flag &amp; Life-Cycle Factor'!$I$18, IF(AND($E42&gt;='Launch flag &amp; Life-Cycle Factor'!$F$17, $E42&lt;='Launch flag &amp; Life-Cycle Factor'!$E$17),'Launch flag &amp; Life-Cycle Factor'!$I$17, IF(AND($E42&gt;='Launch flag &amp; Life-Cycle Factor'!$F$16, $E42&lt;='Launch flag &amp; Life-Cycle Factor'!$E$16),'Launch flag &amp; Life-Cycle Factor'!$I$16,IF(AND($E42&gt;='Launch flag &amp; Life-Cycle Factor'!$F$15, $E42&lt;='Launch flag &amp; Life-Cycle Factor'!$E$15),'Launch flag &amp; Life-Cycle Factor'!$I$15, IF(AND($E42&gt;='Launch flag &amp; Life-Cycle Factor'!$F$14, $E42&lt;='Launch flag &amp; Life-Cycle Factor'!$E$14),'Launch flag &amp; Life-Cycle Factor'!$I$14,IF(AND($E42&gt;='Launch flag &amp; Life-Cycle Factor'!$F$13, $E42&lt;='Launch flag &amp; Life-Cycle Factor'!$E$13),'Launch flag &amp; Life-Cycle Factor'!$I$13, IF(AND($E42&gt;='Launch flag &amp; Life-Cycle Factor'!$F$12, $E42&lt;='Launch flag &amp; Life-Cycle Factor'!$E$12),'Launch flag &amp; Life-Cycle Factor'!$I$12, IF(AND($E42&gt;='Launch flag &amp; Life-Cycle Factor'!$F$11, $E42&lt;='Launch flag &amp; Life-Cycle Factor'!$E$11),'Launch flag &amp; Life-Cycle Factor'!$I$11, IF(AND($E42&gt;='Launch flag &amp; Life-Cycle Factor'!$F$10, $E42&lt;='Launch flag &amp; Life-Cycle Factor'!$E$10),'Launch flag &amp; Life-Cycle Factor'!$I$10, IF(AND($E42&gt;='Launch flag &amp; Life-Cycle Factor'!$F$9, $E42&lt;='Launch flag &amp; Life-Cycle Factor'!$E$9),'Launch flag &amp; Life-Cycle Factor'!$I$9, IF(AND($E42&gt;='Launch flag &amp; Life-Cycle Factor'!$F$8, $E42&lt;='Launch flag &amp; Life-Cycle Factor'!$E$8),'Launch flag &amp; Life-Cycle Factor'!$I$8, IF(AND($E42&gt;='Launch flag &amp; Life-Cycle Factor'!$F$7, $E42&lt;='Launch flag &amp; Life-Cycle Factor'!$E$7),'Launch flag &amp; Life-Cycle Factor'!$I$7, IF(AND($E42&gt;='Launch flag &amp; Life-Cycle Factor'!$F$6, $E42&lt;='Launch flag &amp; Life-Cycle Factor'!$E$6),'Launch flag &amp; Life-Cycle Factor'!$I$6, "-")))))))))))))))))))</f>
        <v>0.7</v>
      </c>
      <c r="R42" s="662">
        <f t="shared" si="0"/>
        <v>0</v>
      </c>
      <c r="S42" s="663">
        <f t="shared" si="1"/>
        <v>0.54347719999999999</v>
      </c>
      <c r="T42" s="242">
        <f t="shared" si="2"/>
        <v>0</v>
      </c>
      <c r="U42" s="243">
        <f t="shared" si="3"/>
        <v>0.54347719999999999</v>
      </c>
      <c r="V42" s="837">
        <f t="shared" si="4"/>
        <v>0.54347719999999999</v>
      </c>
      <c r="W42" s="838">
        <f t="shared" si="5"/>
        <v>0.54347719999999999</v>
      </c>
      <c r="X42" s="672"/>
    </row>
    <row r="43" spans="2:24" x14ac:dyDescent="0.35">
      <c r="B43" s="186" t="s">
        <v>43</v>
      </c>
      <c r="C43" s="192" t="s">
        <v>216</v>
      </c>
      <c r="D43" s="206" t="str">
        <f>IF(AND($E43&gt;='Launch flag &amp; Life-Cycle Factor'!$F$24, $E43&lt;='Launch flag &amp; Life-Cycle Factor'!$E$24),'Launch flag &amp; Life-Cycle Factor'!$B$24, IF(AND($E43&gt;='Launch flag &amp; Life-Cycle Factor'!$F$23, $E43&lt;='Launch flag &amp; Life-Cycle Factor'!$E$23),'Launch flag &amp; Life-Cycle Factor'!$B$23, IF(AND($E43&gt;='Launch flag &amp; Life-Cycle Factor'!$F$22, $E43&lt;='Launch flag &amp; Life-Cycle Factor'!$E$22),'Launch flag &amp; Life-Cycle Factor'!$B$22, IF(AND($E43&gt;='Launch flag &amp; Life-Cycle Factor'!$F$21, $E43&lt;='Launch flag &amp; Life-Cycle Factor'!$E$21),'Launch flag &amp; Life-Cycle Factor'!$B$21, IF(AND($E43&gt;='Launch flag &amp; Life-Cycle Factor'!$F$20, $E43&lt;='Launch flag &amp; Life-Cycle Factor'!$E$20),'Launch flag &amp; Life-Cycle Factor'!$B$20, IF(AND($E43&gt;='Launch flag &amp; Life-Cycle Factor'!$F$19, $E43&lt;='Launch flag &amp; Life-Cycle Factor'!$E$19),'Launch flag &amp; Life-Cycle Factor'!$B$19, IF(AND($E43&gt;='Launch flag &amp; Life-Cycle Factor'!$F$18, $E43&lt;='Launch flag &amp; Life-Cycle Factor'!$E$18),'Launch flag &amp; Life-Cycle Factor'!$B$18, IF(AND($E43&gt;='Launch flag &amp; Life-Cycle Factor'!$F$17, $E43&lt;='Launch flag &amp; Life-Cycle Factor'!$E$17),'Launch flag &amp; Life-Cycle Factor'!$B$17, IF(AND($E43&gt;='Launch flag &amp; Life-Cycle Factor'!$F$16, $E43&lt;='Launch flag &amp; Life-Cycle Factor'!$E$16),'Launch flag &amp; Life-Cycle Factor'!$B$16,IF(AND($E43&gt;='Launch flag &amp; Life-Cycle Factor'!$F$15, $E43&lt;='Launch flag &amp; Life-Cycle Factor'!$E$15),'Launch flag &amp; Life-Cycle Factor'!$B$15, IF(AND($E43&gt;='Launch flag &amp; Life-Cycle Factor'!$F$14, $E43&lt;='Launch flag &amp; Life-Cycle Factor'!$E$14),'Launch flag &amp; Life-Cycle Factor'!$B$14,IF(AND($E43&gt;='Launch flag &amp; Life-Cycle Factor'!$F$13, $E43&lt;='Launch flag &amp; Life-Cycle Factor'!$E$13),'Launch flag &amp; Life-Cycle Factor'!$B$13, IF(AND($E43&gt;='Launch flag &amp; Life-Cycle Factor'!$F$12, $E43&lt;='Launch flag &amp; Life-Cycle Factor'!$E$12),'Launch flag &amp; Life-Cycle Factor'!$B$12, IF(AND($E43&gt;='Launch flag &amp; Life-Cycle Factor'!$F$11, $E43&lt;='Launch flag &amp; Life-Cycle Factor'!$E$11),'Launch flag &amp; Life-Cycle Factor'!$B$11, IF(AND($E43&gt;='Launch flag &amp; Life-Cycle Factor'!$F$10, $E43&lt;='Launch flag &amp; Life-Cycle Factor'!$E$10),'Launch flag &amp; Life-Cycle Factor'!$B$10, IF(AND($E43&gt;='Launch flag &amp; Life-Cycle Factor'!$F$9, $E43&lt;='Launch flag &amp; Life-Cycle Factor'!$E$9),'Launch flag &amp; Life-Cycle Factor'!$B$9, IF(AND($E43&gt;='Launch flag &amp; Life-Cycle Factor'!$F$8, $E43&lt;='Launch flag &amp; Life-Cycle Factor'!$E$8),'Launch flag &amp; Life-Cycle Factor'!$B$8, IF(AND($E43&gt;='Launch flag &amp; Life-Cycle Factor'!$F$7, $E43&lt;='Launch flag &amp; Life-Cycle Factor'!$E$7),'Launch flag &amp; Life-Cycle Factor'!$B$7, IF(AND($E43&gt;='Launch flag &amp; Life-Cycle Factor'!$F$6, $E43&lt;='Launch flag &amp; Life-Cycle Factor'!$E$6),'Launch flag &amp; Life-Cycle Factor'!$B$6, "-")))))))))))))))))))</f>
        <v>Later Life</v>
      </c>
      <c r="E43" s="219">
        <f>INDEX('NPS with launch Dates '!$J$6:$J$59,MATCH('2.  Sales Data Key &amp; Key-Lyn'!$C43,'NPS with launch Dates '!$I$6:$I$59,0))</f>
        <v>42878</v>
      </c>
      <c r="F43" s="197">
        <f>INDEX('Raw Sales Forecasting Data'!$D$11:$H$126,MATCH('2.  Sales Data Key &amp; Key-Lyn'!$C43,'Raw Sales Forecasting Data'!$C$11:$C$126,0),MATCH('2.  Sales Data Key &amp; Key-Lyn'!F$6,'Raw Sales Forecasting Data'!$D$10:$H$10,0))</f>
        <v>532.10304773321252</v>
      </c>
      <c r="G43" s="198">
        <f>INDEX('Raw Sales Forecasting Data'!$D$11:$H$126,MATCH('2.  Sales Data Key &amp; Key-Lyn'!$C43,'Raw Sales Forecasting Data'!$C$11:$C$126,0),MATCH('2.  Sales Data Key &amp; Key-Lyn'!G$6,'Raw Sales Forecasting Data'!$D$10:$H$10,0))</f>
        <v>552.18680027996095</v>
      </c>
      <c r="H43" s="198">
        <f>INDEX('Raw Sales Forecasting Data'!$D$11:$H$126,MATCH('2.  Sales Data Key &amp; Key-Lyn'!$C43,'Raw Sales Forecasting Data'!$C$11:$C$126,0),MATCH('2.  Sales Data Key &amp; Key-Lyn'!H$6,'Raw Sales Forecasting Data'!$D$10:$H$10,0))</f>
        <v>561.18614018024903</v>
      </c>
      <c r="I43" s="198">
        <f>INDEX('Raw Sales Forecasting Data'!$D$11:$H$126,MATCH('2.  Sales Data Key &amp; Key-Lyn'!$C43,'Raw Sales Forecasting Data'!$C$11:$C$126,0),MATCH('2.  Sales Data Key &amp; Key-Lyn'!I$6,'Raw Sales Forecasting Data'!$D$10:$H$10,0))</f>
        <v>572.82140470537092</v>
      </c>
      <c r="J43" s="199">
        <f>INDEX('Raw Sales Forecasting Data'!$D$11:$H$126,MATCH('2.  Sales Data Key &amp; Key-Lyn'!$C43,'Raw Sales Forecasting Data'!$C$11:$C$126,0),MATCH('2.  Sales Data Key &amp; Key-Lyn'!J$6,'Raw Sales Forecasting Data'!$D$10:$H$10,0))</f>
        <v>586.20418896063848</v>
      </c>
      <c r="K43" s="203">
        <f>INDEX('Raw Sales Forecasting Data'!$J$11:$N$126,MATCH('2.  Sales Data Key &amp; Key-Lyn'!$C43,'Raw Sales Forecasting Data'!$C$11:$C$126,0),MATCH('2.  Sales Data Key &amp; Key-Lyn'!K$6,'Raw Sales Forecasting Data'!$J$10:$N$10,0))</f>
        <v>532.10304773321252</v>
      </c>
      <c r="L43" s="198">
        <f>INDEX('Raw Sales Forecasting Data'!$J$11:$N$126,MATCH('2.  Sales Data Key &amp; Key-Lyn'!$C43,'Raw Sales Forecasting Data'!$C$11:$C$126,0),MATCH('2.  Sales Data Key &amp; Key-Lyn'!L$6,'Raw Sales Forecasting Data'!$J$10:$N$10,0))</f>
        <v>552.18680027996095</v>
      </c>
      <c r="M43" s="198">
        <f>INDEX('Raw Sales Forecasting Data'!$J$11:$N$126,MATCH('2.  Sales Data Key &amp; Key-Lyn'!$C43,'Raw Sales Forecasting Data'!$C$11:$C$126,0),MATCH('2.  Sales Data Key &amp; Key-Lyn'!M$6,'Raw Sales Forecasting Data'!$J$10:$N$10,0))</f>
        <v>561.18614018024903</v>
      </c>
      <c r="N43" s="198">
        <f>INDEX('Raw Sales Forecasting Data'!$J$11:$N$126,MATCH('2.  Sales Data Key &amp; Key-Lyn'!$C43,'Raw Sales Forecasting Data'!$C$11:$C$126,0),MATCH('2.  Sales Data Key &amp; Key-Lyn'!N$6,'Raw Sales Forecasting Data'!$J$10:$N$10,0))</f>
        <v>572.82140470537092</v>
      </c>
      <c r="O43" s="238">
        <f>INDEX('Raw Sales Forecasting Data'!$J$11:$N$126,MATCH('2.  Sales Data Key &amp; Key-Lyn'!$C43,'Raw Sales Forecasting Data'!$C$11:$C$126,0),MATCH('2.  Sales Data Key &amp; Key-Lyn'!O$6,'Raw Sales Forecasting Data'!$J$10:$N$10,0))</f>
        <v>586.20418896063848</v>
      </c>
      <c r="P43" s="240">
        <f>IF(AND($E43&gt;='Launch flag &amp; Life-Cycle Factor'!$F$24, $E43&lt;='Launch flag &amp; Life-Cycle Factor'!$E$24),'Launch flag &amp; Life-Cycle Factor'!$H$24, IF(AND($E43&gt;='Launch flag &amp; Life-Cycle Factor'!$F$23, $E43&lt;='Launch flag &amp; Life-Cycle Factor'!$E$23),'Launch flag &amp; Life-Cycle Factor'!$H$23, IF(AND($E43&gt;='Launch flag &amp; Life-Cycle Factor'!$F$22, $E43&lt;='Launch flag &amp; Life-Cycle Factor'!$E$22),'Launch flag &amp; Life-Cycle Factor'!$H$22, IF(AND($E43&gt;='Launch flag &amp; Life-Cycle Factor'!$F$21, $E43&lt;='Launch flag &amp; Life-Cycle Factor'!$E$21),'Launch flag &amp; Life-Cycle Factor'!$H$21, IF(AND($E43&gt;='Launch flag &amp; Life-Cycle Factor'!$F$20, $E43&lt;='Launch flag &amp; Life-Cycle Factor'!$E$20),'Launch flag &amp; Life-Cycle Factor'!$H$20, IF(AND($E43&gt;='Launch flag &amp; Life-Cycle Factor'!$F$19, $E43&lt;='Launch flag &amp; Life-Cycle Factor'!$E$19),'Launch flag &amp; Life-Cycle Factor'!$H$19, IF(AND($E43&gt;='Launch flag &amp; Life-Cycle Factor'!$F$18, $E43&lt;='Launch flag &amp; Life-Cycle Factor'!$E$18),'Launch flag &amp; Life-Cycle Factor'!$H$18, IF(AND($E43&gt;='Launch flag &amp; Life-Cycle Factor'!$F$17, $E43&lt;='Launch flag &amp; Life-Cycle Factor'!$E$17),'Launch flag &amp; Life-Cycle Factor'!$H$17, IF(AND($E43&gt;='Launch flag &amp; Life-Cycle Factor'!$F$16, $E43&lt;='Launch flag &amp; Life-Cycle Factor'!$E$16),'Launch flag &amp; Life-Cycle Factor'!$H$16,IF(AND($E43&gt;='Launch flag &amp; Life-Cycle Factor'!$F$15, $E43&lt;='Launch flag &amp; Life-Cycle Factor'!$E$15),'Launch flag &amp; Life-Cycle Factor'!$H$15, IF(AND($E43&gt;='Launch flag &amp; Life-Cycle Factor'!$F$14, $E43&lt;='Launch flag &amp; Life-Cycle Factor'!$E$14),'Launch flag &amp; Life-Cycle Factor'!$H$14,IF(AND($E43&gt;='Launch flag &amp; Life-Cycle Factor'!$F$13, $E43&lt;='Launch flag &amp; Life-Cycle Factor'!$E$13),'Launch flag &amp; Life-Cycle Factor'!$H$13, IF(AND($E43&gt;='Launch flag &amp; Life-Cycle Factor'!$F$12, $E43&lt;='Launch flag &amp; Life-Cycle Factor'!$E$12),'Launch flag &amp; Life-Cycle Factor'!$H$12, IF(AND($E43&gt;='Launch flag &amp; Life-Cycle Factor'!$F$11, $E43&lt;='Launch flag &amp; Life-Cycle Factor'!$E$11),'Launch flag &amp; Life-Cycle Factor'!$H$11, IF(AND($E43&gt;='Launch flag &amp; Life-Cycle Factor'!$F$10, $E43&lt;='Launch flag &amp; Life-Cycle Factor'!$E$10),'Launch flag &amp; Life-Cycle Factor'!$H$10, IF(AND($E43&gt;='Launch flag &amp; Life-Cycle Factor'!$F$9, $E43&lt;='Launch flag &amp; Life-Cycle Factor'!$E$9),'Launch flag &amp; Life-Cycle Factor'!$H$9, IF(AND($E43&gt;='Launch flag &amp; Life-Cycle Factor'!$F$8, $E43&lt;='Launch flag &amp; Life-Cycle Factor'!$E$8),'Launch flag &amp; Life-Cycle Factor'!$H$8, IF(AND($E43&gt;='Launch flag &amp; Life-Cycle Factor'!$F$7, $E43&lt;='Launch flag &amp; Life-Cycle Factor'!$E$7),'Launch flag &amp; Life-Cycle Factor'!$H$7, IF(AND($E43&gt;='Launch flag &amp; Life-Cycle Factor'!$F$6, $E43&lt;='Launch flag &amp; Life-Cycle Factor'!$E$6),'Launch flag &amp; Life-Cycle Factor'!$H$6, "-")))))))))))))))))))</f>
        <v>0.65</v>
      </c>
      <c r="Q43" s="655">
        <f>IF(AND($E43&gt;='Launch flag &amp; Life-Cycle Factor'!$F$24, $E43&lt;='Launch flag &amp; Life-Cycle Factor'!$E$24),'Launch flag &amp; Life-Cycle Factor'!$I$24, IF(AND($E43&gt;='Launch flag &amp; Life-Cycle Factor'!$F$23, $E43&lt;='Launch flag &amp; Life-Cycle Factor'!$E$23),'Launch flag &amp; Life-Cycle Factor'!$I$23, IF(AND($E43&gt;='Launch flag &amp; Life-Cycle Factor'!$F$22, $E43&lt;='Launch flag &amp; Life-Cycle Factor'!$E$22),'Launch flag &amp; Life-Cycle Factor'!$I$22, IF(AND($E43&gt;='Launch flag &amp; Life-Cycle Factor'!$F$21, $E43&lt;='Launch flag &amp; Life-Cycle Factor'!$E$21),'Launch flag &amp; Life-Cycle Factor'!$I$21, IF(AND($E43&gt;='Launch flag &amp; Life-Cycle Factor'!$F$20, $E43&lt;='Launch flag &amp; Life-Cycle Factor'!$E$20),'Launch flag &amp; Life-Cycle Factor'!$I$20, IF(AND($E43&gt;='Launch flag &amp; Life-Cycle Factor'!$F$19, $E43&lt;='Launch flag &amp; Life-Cycle Factor'!$E$19),'Launch flag &amp; Life-Cycle Factor'!$I$19, IF(AND($E43&gt;='Launch flag &amp; Life-Cycle Factor'!$F$18, $E43&lt;='Launch flag &amp; Life-Cycle Factor'!$E$18),'Launch flag &amp; Life-Cycle Factor'!$I$18, IF(AND($E43&gt;='Launch flag &amp; Life-Cycle Factor'!$F$17, $E43&lt;='Launch flag &amp; Life-Cycle Factor'!$E$17),'Launch flag &amp; Life-Cycle Factor'!$I$17, IF(AND($E43&gt;='Launch flag &amp; Life-Cycle Factor'!$F$16, $E43&lt;='Launch flag &amp; Life-Cycle Factor'!$E$16),'Launch flag &amp; Life-Cycle Factor'!$I$16,IF(AND($E43&gt;='Launch flag &amp; Life-Cycle Factor'!$F$15, $E43&lt;='Launch flag &amp; Life-Cycle Factor'!$E$15),'Launch flag &amp; Life-Cycle Factor'!$I$15, IF(AND($E43&gt;='Launch flag &amp; Life-Cycle Factor'!$F$14, $E43&lt;='Launch flag &amp; Life-Cycle Factor'!$E$14),'Launch flag &amp; Life-Cycle Factor'!$I$14,IF(AND($E43&gt;='Launch flag &amp; Life-Cycle Factor'!$F$13, $E43&lt;='Launch flag &amp; Life-Cycle Factor'!$E$13),'Launch flag &amp; Life-Cycle Factor'!$I$13, IF(AND($E43&gt;='Launch flag &amp; Life-Cycle Factor'!$F$12, $E43&lt;='Launch flag &amp; Life-Cycle Factor'!$E$12),'Launch flag &amp; Life-Cycle Factor'!$I$12, IF(AND($E43&gt;='Launch flag &amp; Life-Cycle Factor'!$F$11, $E43&lt;='Launch flag &amp; Life-Cycle Factor'!$E$11),'Launch flag &amp; Life-Cycle Factor'!$I$11, IF(AND($E43&gt;='Launch flag &amp; Life-Cycle Factor'!$F$10, $E43&lt;='Launch flag &amp; Life-Cycle Factor'!$E$10),'Launch flag &amp; Life-Cycle Factor'!$I$10, IF(AND($E43&gt;='Launch flag &amp; Life-Cycle Factor'!$F$9, $E43&lt;='Launch flag &amp; Life-Cycle Factor'!$E$9),'Launch flag &amp; Life-Cycle Factor'!$I$9, IF(AND($E43&gt;='Launch flag &amp; Life-Cycle Factor'!$F$8, $E43&lt;='Launch flag &amp; Life-Cycle Factor'!$E$8),'Launch flag &amp; Life-Cycle Factor'!$I$8, IF(AND($E43&gt;='Launch flag &amp; Life-Cycle Factor'!$F$7, $E43&lt;='Launch flag &amp; Life-Cycle Factor'!$E$7),'Launch flag &amp; Life-Cycle Factor'!$I$7, IF(AND($E43&gt;='Launch flag &amp; Life-Cycle Factor'!$F$6, $E43&lt;='Launch flag &amp; Life-Cycle Factor'!$E$6),'Launch flag &amp; Life-Cycle Factor'!$I$6, "-")))))))))))))))))))</f>
        <v>0.35</v>
      </c>
      <c r="R43" s="662">
        <f t="shared" si="0"/>
        <v>358.92142018197461</v>
      </c>
      <c r="S43" s="663">
        <f t="shared" si="1"/>
        <v>196.41514906308714</v>
      </c>
      <c r="T43" s="242">
        <f t="shared" si="2"/>
        <v>358.92142018197461</v>
      </c>
      <c r="U43" s="243">
        <f t="shared" si="3"/>
        <v>196.41514906308714</v>
      </c>
      <c r="V43" s="837">
        <f t="shared" si="4"/>
        <v>555.33656924506181</v>
      </c>
      <c r="W43" s="838">
        <f t="shared" si="5"/>
        <v>555.33656924506181</v>
      </c>
      <c r="X43" s="672"/>
    </row>
    <row r="44" spans="2:24" x14ac:dyDescent="0.35">
      <c r="B44" s="186" t="s">
        <v>43</v>
      </c>
      <c r="C44" s="192" t="s">
        <v>222</v>
      </c>
      <c r="D44" s="206" t="str">
        <f>IF(AND($E44&gt;='Launch flag &amp; Life-Cycle Factor'!$F$24, $E44&lt;='Launch flag &amp; Life-Cycle Factor'!$E$24),'Launch flag &amp; Life-Cycle Factor'!$B$24, IF(AND($E44&gt;='Launch flag &amp; Life-Cycle Factor'!$F$23, $E44&lt;='Launch flag &amp; Life-Cycle Factor'!$E$23),'Launch flag &amp; Life-Cycle Factor'!$B$23, IF(AND($E44&gt;='Launch flag &amp; Life-Cycle Factor'!$F$22, $E44&lt;='Launch flag &amp; Life-Cycle Factor'!$E$22),'Launch flag &amp; Life-Cycle Factor'!$B$22, IF(AND($E44&gt;='Launch flag &amp; Life-Cycle Factor'!$F$21, $E44&lt;='Launch flag &amp; Life-Cycle Factor'!$E$21),'Launch flag &amp; Life-Cycle Factor'!$B$21, IF(AND($E44&gt;='Launch flag &amp; Life-Cycle Factor'!$F$20, $E44&lt;='Launch flag &amp; Life-Cycle Factor'!$E$20),'Launch flag &amp; Life-Cycle Factor'!$B$20, IF(AND($E44&gt;='Launch flag &amp; Life-Cycle Factor'!$F$19, $E44&lt;='Launch flag &amp; Life-Cycle Factor'!$E$19),'Launch flag &amp; Life-Cycle Factor'!$B$19, IF(AND($E44&gt;='Launch flag &amp; Life-Cycle Factor'!$F$18, $E44&lt;='Launch flag &amp; Life-Cycle Factor'!$E$18),'Launch flag &amp; Life-Cycle Factor'!$B$18, IF(AND($E44&gt;='Launch flag &amp; Life-Cycle Factor'!$F$17, $E44&lt;='Launch flag &amp; Life-Cycle Factor'!$E$17),'Launch flag &amp; Life-Cycle Factor'!$B$17, IF(AND($E44&gt;='Launch flag &amp; Life-Cycle Factor'!$F$16, $E44&lt;='Launch flag &amp; Life-Cycle Factor'!$E$16),'Launch flag &amp; Life-Cycle Factor'!$B$16,IF(AND($E44&gt;='Launch flag &amp; Life-Cycle Factor'!$F$15, $E44&lt;='Launch flag &amp; Life-Cycle Factor'!$E$15),'Launch flag &amp; Life-Cycle Factor'!$B$15, IF(AND($E44&gt;='Launch flag &amp; Life-Cycle Factor'!$F$14, $E44&lt;='Launch flag &amp; Life-Cycle Factor'!$E$14),'Launch flag &amp; Life-Cycle Factor'!$B$14,IF(AND($E44&gt;='Launch flag &amp; Life-Cycle Factor'!$F$13, $E44&lt;='Launch flag &amp; Life-Cycle Factor'!$E$13),'Launch flag &amp; Life-Cycle Factor'!$B$13, IF(AND($E44&gt;='Launch flag &amp; Life-Cycle Factor'!$F$12, $E44&lt;='Launch flag &amp; Life-Cycle Factor'!$E$12),'Launch flag &amp; Life-Cycle Factor'!$B$12, IF(AND($E44&gt;='Launch flag &amp; Life-Cycle Factor'!$F$11, $E44&lt;='Launch flag &amp; Life-Cycle Factor'!$E$11),'Launch flag &amp; Life-Cycle Factor'!$B$11, IF(AND($E44&gt;='Launch flag &amp; Life-Cycle Factor'!$F$10, $E44&lt;='Launch flag &amp; Life-Cycle Factor'!$E$10),'Launch flag &amp; Life-Cycle Factor'!$B$10, IF(AND($E44&gt;='Launch flag &amp; Life-Cycle Factor'!$F$9, $E44&lt;='Launch flag &amp; Life-Cycle Factor'!$E$9),'Launch flag &amp; Life-Cycle Factor'!$B$9, IF(AND($E44&gt;='Launch flag &amp; Life-Cycle Factor'!$F$8, $E44&lt;='Launch flag &amp; Life-Cycle Factor'!$E$8),'Launch flag &amp; Life-Cycle Factor'!$B$8, IF(AND($E44&gt;='Launch flag &amp; Life-Cycle Factor'!$F$7, $E44&lt;='Launch flag &amp; Life-Cycle Factor'!$E$7),'Launch flag &amp; Life-Cycle Factor'!$B$7, IF(AND($E44&gt;='Launch flag &amp; Life-Cycle Factor'!$F$6, $E44&lt;='Launch flag &amp; Life-Cycle Factor'!$E$6),'Launch flag &amp; Life-Cycle Factor'!$B$6, "-")))))))))))))))))))</f>
        <v>Future Launch</v>
      </c>
      <c r="E44" s="219">
        <f>INDEX('NPS with launch Dates '!$J$6:$J$59,MATCH('2.  Sales Data Key &amp; Key-Lyn'!$C44,'NPS with launch Dates '!$I$6:$I$59,0))</f>
        <v>45871</v>
      </c>
      <c r="F44" s="197">
        <f>INDEX('Raw Sales Forecasting Data'!$D$11:$H$126,MATCH('2.  Sales Data Key &amp; Key-Lyn'!$C44,'Raw Sales Forecasting Data'!$C$11:$C$126,0),MATCH('2.  Sales Data Key &amp; Key-Lyn'!F$6,'Raw Sales Forecasting Data'!$D$10:$H$10,0))</f>
        <v>0</v>
      </c>
      <c r="G44" s="198">
        <f>INDEX('Raw Sales Forecasting Data'!$D$11:$H$126,MATCH('2.  Sales Data Key &amp; Key-Lyn'!$C44,'Raw Sales Forecasting Data'!$C$11:$C$126,0),MATCH('2.  Sales Data Key &amp; Key-Lyn'!G$6,'Raw Sales Forecasting Data'!$D$10:$H$10,0))</f>
        <v>0</v>
      </c>
      <c r="H44" s="198">
        <f>INDEX('Raw Sales Forecasting Data'!$D$11:$H$126,MATCH('2.  Sales Data Key &amp; Key-Lyn'!$C44,'Raw Sales Forecasting Data'!$C$11:$C$126,0),MATCH('2.  Sales Data Key &amp; Key-Lyn'!H$6,'Raw Sales Forecasting Data'!$D$10:$H$10,0))</f>
        <v>25.741962600564584</v>
      </c>
      <c r="I44" s="198">
        <f>INDEX('Raw Sales Forecasting Data'!$D$11:$H$126,MATCH('2.  Sales Data Key &amp; Key-Lyn'!$C44,'Raw Sales Forecasting Data'!$C$11:$C$126,0),MATCH('2.  Sales Data Key &amp; Key-Lyn'!I$6,'Raw Sales Forecasting Data'!$D$10:$H$10,0))</f>
        <v>428.62929662065051</v>
      </c>
      <c r="J44" s="199">
        <f>INDEX('Raw Sales Forecasting Data'!$D$11:$H$126,MATCH('2.  Sales Data Key &amp; Key-Lyn'!$C44,'Raw Sales Forecasting Data'!$C$11:$C$126,0),MATCH('2.  Sales Data Key &amp; Key-Lyn'!J$6,'Raw Sales Forecasting Data'!$D$10:$H$10,0))</f>
        <v>856.51204074706993</v>
      </c>
      <c r="K44" s="203">
        <f>INDEX('Raw Sales Forecasting Data'!$J$11:$N$126,MATCH('2.  Sales Data Key &amp; Key-Lyn'!$C44,'Raw Sales Forecasting Data'!$C$11:$C$126,0),MATCH('2.  Sales Data Key &amp; Key-Lyn'!K$6,'Raw Sales Forecasting Data'!$J$10:$N$10,0))</f>
        <v>0</v>
      </c>
      <c r="L44" s="198">
        <f>INDEX('Raw Sales Forecasting Data'!$J$11:$N$126,MATCH('2.  Sales Data Key &amp; Key-Lyn'!$C44,'Raw Sales Forecasting Data'!$C$11:$C$126,0),MATCH('2.  Sales Data Key &amp; Key-Lyn'!L$6,'Raw Sales Forecasting Data'!$J$10:$N$10,0))</f>
        <v>0</v>
      </c>
      <c r="M44" s="198">
        <f>INDEX('Raw Sales Forecasting Data'!$J$11:$N$126,MATCH('2.  Sales Data Key &amp; Key-Lyn'!$C44,'Raw Sales Forecasting Data'!$C$11:$C$126,0),MATCH('2.  Sales Data Key &amp; Key-Lyn'!M$6,'Raw Sales Forecasting Data'!$J$10:$N$10,0))</f>
        <v>25.741962600564584</v>
      </c>
      <c r="N44" s="198">
        <f>INDEX('Raw Sales Forecasting Data'!$J$11:$N$126,MATCH('2.  Sales Data Key &amp; Key-Lyn'!$C44,'Raw Sales Forecasting Data'!$C$11:$C$126,0),MATCH('2.  Sales Data Key &amp; Key-Lyn'!N$6,'Raw Sales Forecasting Data'!$J$10:$N$10,0))</f>
        <v>428.62929662065051</v>
      </c>
      <c r="O44" s="238">
        <f>INDEX('Raw Sales Forecasting Data'!$J$11:$N$126,MATCH('2.  Sales Data Key &amp; Key-Lyn'!$C44,'Raw Sales Forecasting Data'!$C$11:$C$126,0),MATCH('2.  Sales Data Key &amp; Key-Lyn'!O$6,'Raw Sales Forecasting Data'!$J$10:$N$10,0))</f>
        <v>856.51204074706993</v>
      </c>
      <c r="P44" s="240">
        <f>IF(AND($E44&gt;='Launch flag &amp; Life-Cycle Factor'!$F$24, $E44&lt;='Launch flag &amp; Life-Cycle Factor'!$E$24),'Launch flag &amp; Life-Cycle Factor'!$H$24, IF(AND($E44&gt;='Launch flag &amp; Life-Cycle Factor'!$F$23, $E44&lt;='Launch flag &amp; Life-Cycle Factor'!$E$23),'Launch flag &amp; Life-Cycle Factor'!$H$23, IF(AND($E44&gt;='Launch flag &amp; Life-Cycle Factor'!$F$22, $E44&lt;='Launch flag &amp; Life-Cycle Factor'!$E$22),'Launch flag &amp; Life-Cycle Factor'!$H$22, IF(AND($E44&gt;='Launch flag &amp; Life-Cycle Factor'!$F$21, $E44&lt;='Launch flag &amp; Life-Cycle Factor'!$E$21),'Launch flag &amp; Life-Cycle Factor'!$H$21, IF(AND($E44&gt;='Launch flag &amp; Life-Cycle Factor'!$F$20, $E44&lt;='Launch flag &amp; Life-Cycle Factor'!$E$20),'Launch flag &amp; Life-Cycle Factor'!$H$20, IF(AND($E44&gt;='Launch flag &amp; Life-Cycle Factor'!$F$19, $E44&lt;='Launch flag &amp; Life-Cycle Factor'!$E$19),'Launch flag &amp; Life-Cycle Factor'!$H$19, IF(AND($E44&gt;='Launch flag &amp; Life-Cycle Factor'!$F$18, $E44&lt;='Launch flag &amp; Life-Cycle Factor'!$E$18),'Launch flag &amp; Life-Cycle Factor'!$H$18, IF(AND($E44&gt;='Launch flag &amp; Life-Cycle Factor'!$F$17, $E44&lt;='Launch flag &amp; Life-Cycle Factor'!$E$17),'Launch flag &amp; Life-Cycle Factor'!$H$17, IF(AND($E44&gt;='Launch flag &amp; Life-Cycle Factor'!$F$16, $E44&lt;='Launch flag &amp; Life-Cycle Factor'!$E$16),'Launch flag &amp; Life-Cycle Factor'!$H$16,IF(AND($E44&gt;='Launch flag &amp; Life-Cycle Factor'!$F$15, $E44&lt;='Launch flag &amp; Life-Cycle Factor'!$E$15),'Launch flag &amp; Life-Cycle Factor'!$H$15, IF(AND($E44&gt;='Launch flag &amp; Life-Cycle Factor'!$F$14, $E44&lt;='Launch flag &amp; Life-Cycle Factor'!$E$14),'Launch flag &amp; Life-Cycle Factor'!$H$14,IF(AND($E44&gt;='Launch flag &amp; Life-Cycle Factor'!$F$13, $E44&lt;='Launch flag &amp; Life-Cycle Factor'!$E$13),'Launch flag &amp; Life-Cycle Factor'!$H$13, IF(AND($E44&gt;='Launch flag &amp; Life-Cycle Factor'!$F$12, $E44&lt;='Launch flag &amp; Life-Cycle Factor'!$E$12),'Launch flag &amp; Life-Cycle Factor'!$H$12, IF(AND($E44&gt;='Launch flag &amp; Life-Cycle Factor'!$F$11, $E44&lt;='Launch flag &amp; Life-Cycle Factor'!$E$11),'Launch flag &amp; Life-Cycle Factor'!$H$11, IF(AND($E44&gt;='Launch flag &amp; Life-Cycle Factor'!$F$10, $E44&lt;='Launch flag &amp; Life-Cycle Factor'!$E$10),'Launch flag &amp; Life-Cycle Factor'!$H$10, IF(AND($E44&gt;='Launch flag &amp; Life-Cycle Factor'!$F$9, $E44&lt;='Launch flag &amp; Life-Cycle Factor'!$E$9),'Launch flag &amp; Life-Cycle Factor'!$H$9, IF(AND($E44&gt;='Launch flag &amp; Life-Cycle Factor'!$F$8, $E44&lt;='Launch flag &amp; Life-Cycle Factor'!$E$8),'Launch flag &amp; Life-Cycle Factor'!$H$8, IF(AND($E44&gt;='Launch flag &amp; Life-Cycle Factor'!$F$7, $E44&lt;='Launch flag &amp; Life-Cycle Factor'!$E$7),'Launch flag &amp; Life-Cycle Factor'!$H$7, IF(AND($E44&gt;='Launch flag &amp; Life-Cycle Factor'!$F$6, $E44&lt;='Launch flag &amp; Life-Cycle Factor'!$E$6),'Launch flag &amp; Life-Cycle Factor'!$H$6, "-")))))))))))))))))))</f>
        <v>0</v>
      </c>
      <c r="Q44" s="655">
        <f>IF(AND($E44&gt;='Launch flag &amp; Life-Cycle Factor'!$F$24, $E44&lt;='Launch flag &amp; Life-Cycle Factor'!$E$24),'Launch flag &amp; Life-Cycle Factor'!$I$24, IF(AND($E44&gt;='Launch flag &amp; Life-Cycle Factor'!$F$23, $E44&lt;='Launch flag &amp; Life-Cycle Factor'!$E$23),'Launch flag &amp; Life-Cycle Factor'!$I$23, IF(AND($E44&gt;='Launch flag &amp; Life-Cycle Factor'!$F$22, $E44&lt;='Launch flag &amp; Life-Cycle Factor'!$E$22),'Launch flag &amp; Life-Cycle Factor'!$I$22, IF(AND($E44&gt;='Launch flag &amp; Life-Cycle Factor'!$F$21, $E44&lt;='Launch flag &amp; Life-Cycle Factor'!$E$21),'Launch flag &amp; Life-Cycle Factor'!$I$21, IF(AND($E44&gt;='Launch flag &amp; Life-Cycle Factor'!$F$20, $E44&lt;='Launch flag &amp; Life-Cycle Factor'!$E$20),'Launch flag &amp; Life-Cycle Factor'!$I$20, IF(AND($E44&gt;='Launch flag &amp; Life-Cycle Factor'!$F$19, $E44&lt;='Launch flag &amp; Life-Cycle Factor'!$E$19),'Launch flag &amp; Life-Cycle Factor'!$I$19, IF(AND($E44&gt;='Launch flag &amp; Life-Cycle Factor'!$F$18, $E44&lt;='Launch flag &amp; Life-Cycle Factor'!$E$18),'Launch flag &amp; Life-Cycle Factor'!$I$18, IF(AND($E44&gt;='Launch flag &amp; Life-Cycle Factor'!$F$17, $E44&lt;='Launch flag &amp; Life-Cycle Factor'!$E$17),'Launch flag &amp; Life-Cycle Factor'!$I$17, IF(AND($E44&gt;='Launch flag &amp; Life-Cycle Factor'!$F$16, $E44&lt;='Launch flag &amp; Life-Cycle Factor'!$E$16),'Launch flag &amp; Life-Cycle Factor'!$I$16,IF(AND($E44&gt;='Launch flag &amp; Life-Cycle Factor'!$F$15, $E44&lt;='Launch flag &amp; Life-Cycle Factor'!$E$15),'Launch flag &amp; Life-Cycle Factor'!$I$15, IF(AND($E44&gt;='Launch flag &amp; Life-Cycle Factor'!$F$14, $E44&lt;='Launch flag &amp; Life-Cycle Factor'!$E$14),'Launch flag &amp; Life-Cycle Factor'!$I$14,IF(AND($E44&gt;='Launch flag &amp; Life-Cycle Factor'!$F$13, $E44&lt;='Launch flag &amp; Life-Cycle Factor'!$E$13),'Launch flag &amp; Life-Cycle Factor'!$I$13, IF(AND($E44&gt;='Launch flag &amp; Life-Cycle Factor'!$F$12, $E44&lt;='Launch flag &amp; Life-Cycle Factor'!$E$12),'Launch flag &amp; Life-Cycle Factor'!$I$12, IF(AND($E44&gt;='Launch flag &amp; Life-Cycle Factor'!$F$11, $E44&lt;='Launch flag &amp; Life-Cycle Factor'!$E$11),'Launch flag &amp; Life-Cycle Factor'!$I$11, IF(AND($E44&gt;='Launch flag &amp; Life-Cycle Factor'!$F$10, $E44&lt;='Launch flag &amp; Life-Cycle Factor'!$E$10),'Launch flag &amp; Life-Cycle Factor'!$I$10, IF(AND($E44&gt;='Launch flag &amp; Life-Cycle Factor'!$F$9, $E44&lt;='Launch flag &amp; Life-Cycle Factor'!$E$9),'Launch flag &amp; Life-Cycle Factor'!$I$9, IF(AND($E44&gt;='Launch flag &amp; Life-Cycle Factor'!$F$8, $E44&lt;='Launch flag &amp; Life-Cycle Factor'!$E$8),'Launch flag &amp; Life-Cycle Factor'!$I$8, IF(AND($E44&gt;='Launch flag &amp; Life-Cycle Factor'!$F$7, $E44&lt;='Launch flag &amp; Life-Cycle Factor'!$E$7),'Launch flag &amp; Life-Cycle Factor'!$I$7, IF(AND($E44&gt;='Launch flag &amp; Life-Cycle Factor'!$F$6, $E44&lt;='Launch flag &amp; Life-Cycle Factor'!$E$6),'Launch flag &amp; Life-Cycle Factor'!$I$6, "-")))))))))))))))))))</f>
        <v>0.7</v>
      </c>
      <c r="R44" s="662">
        <f t="shared" si="0"/>
        <v>0</v>
      </c>
      <c r="S44" s="663">
        <f t="shared" si="1"/>
        <v>18.019373820395206</v>
      </c>
      <c r="T44" s="242">
        <f t="shared" si="2"/>
        <v>0</v>
      </c>
      <c r="U44" s="243">
        <f t="shared" si="3"/>
        <v>18.019373820395206</v>
      </c>
      <c r="V44" s="837">
        <f t="shared" si="4"/>
        <v>18.019373820395206</v>
      </c>
      <c r="W44" s="838">
        <f t="shared" si="5"/>
        <v>18.019373820395206</v>
      </c>
      <c r="X44" s="672"/>
    </row>
    <row r="45" spans="2:24" x14ac:dyDescent="0.35">
      <c r="B45" s="186" t="s">
        <v>43</v>
      </c>
      <c r="C45" s="192" t="s">
        <v>225</v>
      </c>
      <c r="D45" s="206" t="str">
        <f>IF(AND($E45&gt;='Launch flag &amp; Life-Cycle Factor'!$F$24, $E45&lt;='Launch flag &amp; Life-Cycle Factor'!$E$24),'Launch flag &amp; Life-Cycle Factor'!$B$24, IF(AND($E45&gt;='Launch flag &amp; Life-Cycle Factor'!$F$23, $E45&lt;='Launch flag &amp; Life-Cycle Factor'!$E$23),'Launch flag &amp; Life-Cycle Factor'!$B$23, IF(AND($E45&gt;='Launch flag &amp; Life-Cycle Factor'!$F$22, $E45&lt;='Launch flag &amp; Life-Cycle Factor'!$E$22),'Launch flag &amp; Life-Cycle Factor'!$B$22, IF(AND($E45&gt;='Launch flag &amp; Life-Cycle Factor'!$F$21, $E45&lt;='Launch flag &amp; Life-Cycle Factor'!$E$21),'Launch flag &amp; Life-Cycle Factor'!$B$21, IF(AND($E45&gt;='Launch flag &amp; Life-Cycle Factor'!$F$20, $E45&lt;='Launch flag &amp; Life-Cycle Factor'!$E$20),'Launch flag &amp; Life-Cycle Factor'!$B$20, IF(AND($E45&gt;='Launch flag &amp; Life-Cycle Factor'!$F$19, $E45&lt;='Launch flag &amp; Life-Cycle Factor'!$E$19),'Launch flag &amp; Life-Cycle Factor'!$B$19, IF(AND($E45&gt;='Launch flag &amp; Life-Cycle Factor'!$F$18, $E45&lt;='Launch flag &amp; Life-Cycle Factor'!$E$18),'Launch flag &amp; Life-Cycle Factor'!$B$18, IF(AND($E45&gt;='Launch flag &amp; Life-Cycle Factor'!$F$17, $E45&lt;='Launch flag &amp; Life-Cycle Factor'!$E$17),'Launch flag &amp; Life-Cycle Factor'!$B$17, IF(AND($E45&gt;='Launch flag &amp; Life-Cycle Factor'!$F$16, $E45&lt;='Launch flag &amp; Life-Cycle Factor'!$E$16),'Launch flag &amp; Life-Cycle Factor'!$B$16,IF(AND($E45&gt;='Launch flag &amp; Life-Cycle Factor'!$F$15, $E45&lt;='Launch flag &amp; Life-Cycle Factor'!$E$15),'Launch flag &amp; Life-Cycle Factor'!$B$15, IF(AND($E45&gt;='Launch flag &amp; Life-Cycle Factor'!$F$14, $E45&lt;='Launch flag &amp; Life-Cycle Factor'!$E$14),'Launch flag &amp; Life-Cycle Factor'!$B$14,IF(AND($E45&gt;='Launch flag &amp; Life-Cycle Factor'!$F$13, $E45&lt;='Launch flag &amp; Life-Cycle Factor'!$E$13),'Launch flag &amp; Life-Cycle Factor'!$B$13, IF(AND($E45&gt;='Launch flag &amp; Life-Cycle Factor'!$F$12, $E45&lt;='Launch flag &amp; Life-Cycle Factor'!$E$12),'Launch flag &amp; Life-Cycle Factor'!$B$12, IF(AND($E45&gt;='Launch flag &amp; Life-Cycle Factor'!$F$11, $E45&lt;='Launch flag &amp; Life-Cycle Factor'!$E$11),'Launch flag &amp; Life-Cycle Factor'!$B$11, IF(AND($E45&gt;='Launch flag &amp; Life-Cycle Factor'!$F$10, $E45&lt;='Launch flag &amp; Life-Cycle Factor'!$E$10),'Launch flag &amp; Life-Cycle Factor'!$B$10, IF(AND($E45&gt;='Launch flag &amp; Life-Cycle Factor'!$F$9, $E45&lt;='Launch flag &amp; Life-Cycle Factor'!$E$9),'Launch flag &amp; Life-Cycle Factor'!$B$9, IF(AND($E45&gt;='Launch flag &amp; Life-Cycle Factor'!$F$8, $E45&lt;='Launch flag &amp; Life-Cycle Factor'!$E$8),'Launch flag &amp; Life-Cycle Factor'!$B$8, IF(AND($E45&gt;='Launch flag &amp; Life-Cycle Factor'!$F$7, $E45&lt;='Launch flag &amp; Life-Cycle Factor'!$E$7),'Launch flag &amp; Life-Cycle Factor'!$B$7, IF(AND($E45&gt;='Launch flag &amp; Life-Cycle Factor'!$F$6, $E45&lt;='Launch flag &amp; Life-Cycle Factor'!$E$6),'Launch flag &amp; Life-Cycle Factor'!$B$6, "-")))))))))))))))))))</f>
        <v>Future Launch</v>
      </c>
      <c r="E45" s="219">
        <f>INDEX('NPS with launch Dates '!$J$6:$J$59,MATCH('2.  Sales Data Key &amp; Key-Lyn'!$C45,'NPS with launch Dates '!$I$6:$I$59,0))</f>
        <v>45810</v>
      </c>
      <c r="F45" s="197">
        <f>INDEX('Raw Sales Forecasting Data'!$D$11:$H$126,MATCH('2.  Sales Data Key &amp; Key-Lyn'!$C45,'Raw Sales Forecasting Data'!$C$11:$C$126,0),MATCH('2.  Sales Data Key &amp; Key-Lyn'!F$6,'Raw Sales Forecasting Data'!$D$10:$H$10,0))</f>
        <v>0</v>
      </c>
      <c r="G45" s="198">
        <f>INDEX('Raw Sales Forecasting Data'!$D$11:$H$126,MATCH('2.  Sales Data Key &amp; Key-Lyn'!$C45,'Raw Sales Forecasting Data'!$C$11:$C$126,0),MATCH('2.  Sales Data Key &amp; Key-Lyn'!G$6,'Raw Sales Forecasting Data'!$D$10:$H$10,0))</f>
        <v>0</v>
      </c>
      <c r="H45" s="198">
        <f>INDEX('Raw Sales Forecasting Data'!$D$11:$H$126,MATCH('2.  Sales Data Key &amp; Key-Lyn'!$C45,'Raw Sales Forecasting Data'!$C$11:$C$126,0),MATCH('2.  Sales Data Key &amp; Key-Lyn'!H$6,'Raw Sales Forecasting Data'!$D$10:$H$10,0))</f>
        <v>4.418649838652196</v>
      </c>
      <c r="I45" s="198">
        <f>INDEX('Raw Sales Forecasting Data'!$D$11:$H$126,MATCH('2.  Sales Data Key &amp; Key-Lyn'!$C45,'Raw Sales Forecasting Data'!$C$11:$C$126,0),MATCH('2.  Sales Data Key &amp; Key-Lyn'!I$6,'Raw Sales Forecasting Data'!$D$10:$H$10,0))</f>
        <v>105.49088514641248</v>
      </c>
      <c r="J45" s="199">
        <f>INDEX('Raw Sales Forecasting Data'!$D$11:$H$126,MATCH('2.  Sales Data Key &amp; Key-Lyn'!$C45,'Raw Sales Forecasting Data'!$C$11:$C$126,0),MATCH('2.  Sales Data Key &amp; Key-Lyn'!J$6,'Raw Sales Forecasting Data'!$D$10:$H$10,0))</f>
        <v>261.75013383866201</v>
      </c>
      <c r="K45" s="203">
        <f>INDEX('Raw Sales Forecasting Data'!$J$11:$N$126,MATCH('2.  Sales Data Key &amp; Key-Lyn'!$C45,'Raw Sales Forecasting Data'!$C$11:$C$126,0),MATCH('2.  Sales Data Key &amp; Key-Lyn'!K$6,'Raw Sales Forecasting Data'!$J$10:$N$10,0))</f>
        <v>0</v>
      </c>
      <c r="L45" s="198">
        <f>INDEX('Raw Sales Forecasting Data'!$J$11:$N$126,MATCH('2.  Sales Data Key &amp; Key-Lyn'!$C45,'Raw Sales Forecasting Data'!$C$11:$C$126,0),MATCH('2.  Sales Data Key &amp; Key-Lyn'!L$6,'Raw Sales Forecasting Data'!$J$10:$N$10,0))</f>
        <v>0</v>
      </c>
      <c r="M45" s="198">
        <f>INDEX('Raw Sales Forecasting Data'!$J$11:$N$126,MATCH('2.  Sales Data Key &amp; Key-Lyn'!$C45,'Raw Sales Forecasting Data'!$C$11:$C$126,0),MATCH('2.  Sales Data Key &amp; Key-Lyn'!M$6,'Raw Sales Forecasting Data'!$J$10:$N$10,0))</f>
        <v>4.418649838652196</v>
      </c>
      <c r="N45" s="198">
        <f>INDEX('Raw Sales Forecasting Data'!$J$11:$N$126,MATCH('2.  Sales Data Key &amp; Key-Lyn'!$C45,'Raw Sales Forecasting Data'!$C$11:$C$126,0),MATCH('2.  Sales Data Key &amp; Key-Lyn'!N$6,'Raw Sales Forecasting Data'!$J$10:$N$10,0))</f>
        <v>105.49088514641248</v>
      </c>
      <c r="O45" s="238">
        <f>INDEX('Raw Sales Forecasting Data'!$J$11:$N$126,MATCH('2.  Sales Data Key &amp; Key-Lyn'!$C45,'Raw Sales Forecasting Data'!$C$11:$C$126,0),MATCH('2.  Sales Data Key &amp; Key-Lyn'!O$6,'Raw Sales Forecasting Data'!$J$10:$N$10,0))</f>
        <v>261.75013383866201</v>
      </c>
      <c r="P45" s="240">
        <f>IF(AND($E45&gt;='Launch flag &amp; Life-Cycle Factor'!$F$24, $E45&lt;='Launch flag &amp; Life-Cycle Factor'!$E$24),'Launch flag &amp; Life-Cycle Factor'!$H$24, IF(AND($E45&gt;='Launch flag &amp; Life-Cycle Factor'!$F$23, $E45&lt;='Launch flag &amp; Life-Cycle Factor'!$E$23),'Launch flag &amp; Life-Cycle Factor'!$H$23, IF(AND($E45&gt;='Launch flag &amp; Life-Cycle Factor'!$F$22, $E45&lt;='Launch flag &amp; Life-Cycle Factor'!$E$22),'Launch flag &amp; Life-Cycle Factor'!$H$22, IF(AND($E45&gt;='Launch flag &amp; Life-Cycle Factor'!$F$21, $E45&lt;='Launch flag &amp; Life-Cycle Factor'!$E$21),'Launch flag &amp; Life-Cycle Factor'!$H$21, IF(AND($E45&gt;='Launch flag &amp; Life-Cycle Factor'!$F$20, $E45&lt;='Launch flag &amp; Life-Cycle Factor'!$E$20),'Launch flag &amp; Life-Cycle Factor'!$H$20, IF(AND($E45&gt;='Launch flag &amp; Life-Cycle Factor'!$F$19, $E45&lt;='Launch flag &amp; Life-Cycle Factor'!$E$19),'Launch flag &amp; Life-Cycle Factor'!$H$19, IF(AND($E45&gt;='Launch flag &amp; Life-Cycle Factor'!$F$18, $E45&lt;='Launch flag &amp; Life-Cycle Factor'!$E$18),'Launch flag &amp; Life-Cycle Factor'!$H$18, IF(AND($E45&gt;='Launch flag &amp; Life-Cycle Factor'!$F$17, $E45&lt;='Launch flag &amp; Life-Cycle Factor'!$E$17),'Launch flag &amp; Life-Cycle Factor'!$H$17, IF(AND($E45&gt;='Launch flag &amp; Life-Cycle Factor'!$F$16, $E45&lt;='Launch flag &amp; Life-Cycle Factor'!$E$16),'Launch flag &amp; Life-Cycle Factor'!$H$16,IF(AND($E45&gt;='Launch flag &amp; Life-Cycle Factor'!$F$15, $E45&lt;='Launch flag &amp; Life-Cycle Factor'!$E$15),'Launch flag &amp; Life-Cycle Factor'!$H$15, IF(AND($E45&gt;='Launch flag &amp; Life-Cycle Factor'!$F$14, $E45&lt;='Launch flag &amp; Life-Cycle Factor'!$E$14),'Launch flag &amp; Life-Cycle Factor'!$H$14,IF(AND($E45&gt;='Launch flag &amp; Life-Cycle Factor'!$F$13, $E45&lt;='Launch flag &amp; Life-Cycle Factor'!$E$13),'Launch flag &amp; Life-Cycle Factor'!$H$13, IF(AND($E45&gt;='Launch flag &amp; Life-Cycle Factor'!$F$12, $E45&lt;='Launch flag &amp; Life-Cycle Factor'!$E$12),'Launch flag &amp; Life-Cycle Factor'!$H$12, IF(AND($E45&gt;='Launch flag &amp; Life-Cycle Factor'!$F$11, $E45&lt;='Launch flag &amp; Life-Cycle Factor'!$E$11),'Launch flag &amp; Life-Cycle Factor'!$H$11, IF(AND($E45&gt;='Launch flag &amp; Life-Cycle Factor'!$F$10, $E45&lt;='Launch flag &amp; Life-Cycle Factor'!$E$10),'Launch flag &amp; Life-Cycle Factor'!$H$10, IF(AND($E45&gt;='Launch flag &amp; Life-Cycle Factor'!$F$9, $E45&lt;='Launch flag &amp; Life-Cycle Factor'!$E$9),'Launch flag &amp; Life-Cycle Factor'!$H$9, IF(AND($E45&gt;='Launch flag &amp; Life-Cycle Factor'!$F$8, $E45&lt;='Launch flag &amp; Life-Cycle Factor'!$E$8),'Launch flag &amp; Life-Cycle Factor'!$H$8, IF(AND($E45&gt;='Launch flag &amp; Life-Cycle Factor'!$F$7, $E45&lt;='Launch flag &amp; Life-Cycle Factor'!$E$7),'Launch flag &amp; Life-Cycle Factor'!$H$7, IF(AND($E45&gt;='Launch flag &amp; Life-Cycle Factor'!$F$6, $E45&lt;='Launch flag &amp; Life-Cycle Factor'!$E$6),'Launch flag &amp; Life-Cycle Factor'!$H$6, "-")))))))))))))))))))</f>
        <v>0</v>
      </c>
      <c r="Q45" s="655">
        <f>IF(AND($E45&gt;='Launch flag &amp; Life-Cycle Factor'!$F$24, $E45&lt;='Launch flag &amp; Life-Cycle Factor'!$E$24),'Launch flag &amp; Life-Cycle Factor'!$I$24, IF(AND($E45&gt;='Launch flag &amp; Life-Cycle Factor'!$F$23, $E45&lt;='Launch flag &amp; Life-Cycle Factor'!$E$23),'Launch flag &amp; Life-Cycle Factor'!$I$23, IF(AND($E45&gt;='Launch flag &amp; Life-Cycle Factor'!$F$22, $E45&lt;='Launch flag &amp; Life-Cycle Factor'!$E$22),'Launch flag &amp; Life-Cycle Factor'!$I$22, IF(AND($E45&gt;='Launch flag &amp; Life-Cycle Factor'!$F$21, $E45&lt;='Launch flag &amp; Life-Cycle Factor'!$E$21),'Launch flag &amp; Life-Cycle Factor'!$I$21, IF(AND($E45&gt;='Launch flag &amp; Life-Cycle Factor'!$F$20, $E45&lt;='Launch flag &amp; Life-Cycle Factor'!$E$20),'Launch flag &amp; Life-Cycle Factor'!$I$20, IF(AND($E45&gt;='Launch flag &amp; Life-Cycle Factor'!$F$19, $E45&lt;='Launch flag &amp; Life-Cycle Factor'!$E$19),'Launch flag &amp; Life-Cycle Factor'!$I$19, IF(AND($E45&gt;='Launch flag &amp; Life-Cycle Factor'!$F$18, $E45&lt;='Launch flag &amp; Life-Cycle Factor'!$E$18),'Launch flag &amp; Life-Cycle Factor'!$I$18, IF(AND($E45&gt;='Launch flag &amp; Life-Cycle Factor'!$F$17, $E45&lt;='Launch flag &amp; Life-Cycle Factor'!$E$17),'Launch flag &amp; Life-Cycle Factor'!$I$17, IF(AND($E45&gt;='Launch flag &amp; Life-Cycle Factor'!$F$16, $E45&lt;='Launch flag &amp; Life-Cycle Factor'!$E$16),'Launch flag &amp; Life-Cycle Factor'!$I$16,IF(AND($E45&gt;='Launch flag &amp; Life-Cycle Factor'!$F$15, $E45&lt;='Launch flag &amp; Life-Cycle Factor'!$E$15),'Launch flag &amp; Life-Cycle Factor'!$I$15, IF(AND($E45&gt;='Launch flag &amp; Life-Cycle Factor'!$F$14, $E45&lt;='Launch flag &amp; Life-Cycle Factor'!$E$14),'Launch flag &amp; Life-Cycle Factor'!$I$14,IF(AND($E45&gt;='Launch flag &amp; Life-Cycle Factor'!$F$13, $E45&lt;='Launch flag &amp; Life-Cycle Factor'!$E$13),'Launch flag &amp; Life-Cycle Factor'!$I$13, IF(AND($E45&gt;='Launch flag &amp; Life-Cycle Factor'!$F$12, $E45&lt;='Launch flag &amp; Life-Cycle Factor'!$E$12),'Launch flag &amp; Life-Cycle Factor'!$I$12, IF(AND($E45&gt;='Launch flag &amp; Life-Cycle Factor'!$F$11, $E45&lt;='Launch flag &amp; Life-Cycle Factor'!$E$11),'Launch flag &amp; Life-Cycle Factor'!$I$11, IF(AND($E45&gt;='Launch flag &amp; Life-Cycle Factor'!$F$10, $E45&lt;='Launch flag &amp; Life-Cycle Factor'!$E$10),'Launch flag &amp; Life-Cycle Factor'!$I$10, IF(AND($E45&gt;='Launch flag &amp; Life-Cycle Factor'!$F$9, $E45&lt;='Launch flag &amp; Life-Cycle Factor'!$E$9),'Launch flag &amp; Life-Cycle Factor'!$I$9, IF(AND($E45&gt;='Launch flag &amp; Life-Cycle Factor'!$F$8, $E45&lt;='Launch flag &amp; Life-Cycle Factor'!$E$8),'Launch flag &amp; Life-Cycle Factor'!$I$8, IF(AND($E45&gt;='Launch flag &amp; Life-Cycle Factor'!$F$7, $E45&lt;='Launch flag &amp; Life-Cycle Factor'!$E$7),'Launch flag &amp; Life-Cycle Factor'!$I$7, IF(AND($E45&gt;='Launch flag &amp; Life-Cycle Factor'!$F$6, $E45&lt;='Launch flag &amp; Life-Cycle Factor'!$E$6),'Launch flag &amp; Life-Cycle Factor'!$I$6, "-")))))))))))))))))))</f>
        <v>0.7</v>
      </c>
      <c r="R45" s="662">
        <f t="shared" si="0"/>
        <v>0</v>
      </c>
      <c r="S45" s="663">
        <f t="shared" si="1"/>
        <v>3.0930548870565371</v>
      </c>
      <c r="T45" s="242">
        <f t="shared" si="2"/>
        <v>0</v>
      </c>
      <c r="U45" s="243">
        <f t="shared" si="3"/>
        <v>3.0930548870565371</v>
      </c>
      <c r="V45" s="837">
        <f t="shared" si="4"/>
        <v>3.0930548870565371</v>
      </c>
      <c r="W45" s="838">
        <f t="shared" si="5"/>
        <v>3.0930548870565371</v>
      </c>
      <c r="X45" s="672"/>
    </row>
    <row r="46" spans="2:24" x14ac:dyDescent="0.35">
      <c r="B46" s="186" t="s">
        <v>43</v>
      </c>
      <c r="C46" s="192" t="s">
        <v>227</v>
      </c>
      <c r="D46" s="206" t="str">
        <f>IF(AND($E46&gt;='Launch flag &amp; Life-Cycle Factor'!$F$24, $E46&lt;='Launch flag &amp; Life-Cycle Factor'!$E$24),'Launch flag &amp; Life-Cycle Factor'!$B$24, IF(AND($E46&gt;='Launch flag &amp; Life-Cycle Factor'!$F$23, $E46&lt;='Launch flag &amp; Life-Cycle Factor'!$E$23),'Launch flag &amp; Life-Cycle Factor'!$B$23, IF(AND($E46&gt;='Launch flag &amp; Life-Cycle Factor'!$F$22, $E46&lt;='Launch flag &amp; Life-Cycle Factor'!$E$22),'Launch flag &amp; Life-Cycle Factor'!$B$22, IF(AND($E46&gt;='Launch flag &amp; Life-Cycle Factor'!$F$21, $E46&lt;='Launch flag &amp; Life-Cycle Factor'!$E$21),'Launch flag &amp; Life-Cycle Factor'!$B$21, IF(AND($E46&gt;='Launch flag &amp; Life-Cycle Factor'!$F$20, $E46&lt;='Launch flag &amp; Life-Cycle Factor'!$E$20),'Launch flag &amp; Life-Cycle Factor'!$B$20, IF(AND($E46&gt;='Launch flag &amp; Life-Cycle Factor'!$F$19, $E46&lt;='Launch flag &amp; Life-Cycle Factor'!$E$19),'Launch flag &amp; Life-Cycle Factor'!$B$19, IF(AND($E46&gt;='Launch flag &amp; Life-Cycle Factor'!$F$18, $E46&lt;='Launch flag &amp; Life-Cycle Factor'!$E$18),'Launch flag &amp; Life-Cycle Factor'!$B$18, IF(AND($E46&gt;='Launch flag &amp; Life-Cycle Factor'!$F$17, $E46&lt;='Launch flag &amp; Life-Cycle Factor'!$E$17),'Launch flag &amp; Life-Cycle Factor'!$B$17, IF(AND($E46&gt;='Launch flag &amp; Life-Cycle Factor'!$F$16, $E46&lt;='Launch flag &amp; Life-Cycle Factor'!$E$16),'Launch flag &amp; Life-Cycle Factor'!$B$16,IF(AND($E46&gt;='Launch flag &amp; Life-Cycle Factor'!$F$15, $E46&lt;='Launch flag &amp; Life-Cycle Factor'!$E$15),'Launch flag &amp; Life-Cycle Factor'!$B$15, IF(AND($E46&gt;='Launch flag &amp; Life-Cycle Factor'!$F$14, $E46&lt;='Launch flag &amp; Life-Cycle Factor'!$E$14),'Launch flag &amp; Life-Cycle Factor'!$B$14,IF(AND($E46&gt;='Launch flag &amp; Life-Cycle Factor'!$F$13, $E46&lt;='Launch flag &amp; Life-Cycle Factor'!$E$13),'Launch flag &amp; Life-Cycle Factor'!$B$13, IF(AND($E46&gt;='Launch flag &amp; Life-Cycle Factor'!$F$12, $E46&lt;='Launch flag &amp; Life-Cycle Factor'!$E$12),'Launch flag &amp; Life-Cycle Factor'!$B$12, IF(AND($E46&gt;='Launch flag &amp; Life-Cycle Factor'!$F$11, $E46&lt;='Launch flag &amp; Life-Cycle Factor'!$E$11),'Launch flag &amp; Life-Cycle Factor'!$B$11, IF(AND($E46&gt;='Launch flag &amp; Life-Cycle Factor'!$F$10, $E46&lt;='Launch flag &amp; Life-Cycle Factor'!$E$10),'Launch flag &amp; Life-Cycle Factor'!$B$10, IF(AND($E46&gt;='Launch flag &amp; Life-Cycle Factor'!$F$9, $E46&lt;='Launch flag &amp; Life-Cycle Factor'!$E$9),'Launch flag &amp; Life-Cycle Factor'!$B$9, IF(AND($E46&gt;='Launch flag &amp; Life-Cycle Factor'!$F$8, $E46&lt;='Launch flag &amp; Life-Cycle Factor'!$E$8),'Launch flag &amp; Life-Cycle Factor'!$B$8, IF(AND($E46&gt;='Launch flag &amp; Life-Cycle Factor'!$F$7, $E46&lt;='Launch flag &amp; Life-Cycle Factor'!$E$7),'Launch flag &amp; Life-Cycle Factor'!$B$7, IF(AND($E46&gt;='Launch flag &amp; Life-Cycle Factor'!$F$6, $E46&lt;='Launch flag &amp; Life-Cycle Factor'!$E$6),'Launch flag &amp; Life-Cycle Factor'!$B$6, "-")))))))))))))))))))</f>
        <v>Established</v>
      </c>
      <c r="E46" s="219">
        <f>INDEX('NPS with launch Dates '!$J$6:$J$59,MATCH('2.  Sales Data Key &amp; Key-Lyn'!$C46,'NPS with launch Dates '!$I$6:$I$59,0))</f>
        <v>44228</v>
      </c>
      <c r="F46" s="197">
        <f>INDEX('Raw Sales Forecasting Data'!$D$11:$H$126,MATCH('2.  Sales Data Key &amp; Key-Lyn'!$C46,'Raw Sales Forecasting Data'!$C$11:$C$126,0),MATCH('2.  Sales Data Key &amp; Key-Lyn'!F$6,'Raw Sales Forecasting Data'!$D$10:$H$10,0))</f>
        <v>259.42257182194209</v>
      </c>
      <c r="G46" s="198">
        <f>INDEX('Raw Sales Forecasting Data'!$D$11:$H$126,MATCH('2.  Sales Data Key &amp; Key-Lyn'!$C46,'Raw Sales Forecasting Data'!$C$11:$C$126,0),MATCH('2.  Sales Data Key &amp; Key-Lyn'!G$6,'Raw Sales Forecasting Data'!$D$10:$H$10,0))</f>
        <v>281.17057883720292</v>
      </c>
      <c r="H46" s="198">
        <f>INDEX('Raw Sales Forecasting Data'!$D$11:$H$126,MATCH('2.  Sales Data Key &amp; Key-Lyn'!$C46,'Raw Sales Forecasting Data'!$C$11:$C$126,0),MATCH('2.  Sales Data Key &amp; Key-Lyn'!H$6,'Raw Sales Forecasting Data'!$D$10:$H$10,0))</f>
        <v>279.10125178966882</v>
      </c>
      <c r="I46" s="198">
        <f>INDEX('Raw Sales Forecasting Data'!$D$11:$H$126,MATCH('2.  Sales Data Key &amp; Key-Lyn'!$C46,'Raw Sales Forecasting Data'!$C$11:$C$126,0),MATCH('2.  Sales Data Key &amp; Key-Lyn'!I$6,'Raw Sales Forecasting Data'!$D$10:$H$10,0))</f>
        <v>291.60198176207177</v>
      </c>
      <c r="J46" s="199">
        <f>INDEX('Raw Sales Forecasting Data'!$D$11:$H$126,MATCH('2.  Sales Data Key &amp; Key-Lyn'!$C46,'Raw Sales Forecasting Data'!$C$11:$C$126,0),MATCH('2.  Sales Data Key &amp; Key-Lyn'!J$6,'Raw Sales Forecasting Data'!$D$10:$H$10,0))</f>
        <v>332.19413776499317</v>
      </c>
      <c r="K46" s="203">
        <f>INDEX('Raw Sales Forecasting Data'!$J$11:$N$126,MATCH('2.  Sales Data Key &amp; Key-Lyn'!$C46,'Raw Sales Forecasting Data'!$C$11:$C$126,0),MATCH('2.  Sales Data Key &amp; Key-Lyn'!K$6,'Raw Sales Forecasting Data'!$J$10:$N$10,0))</f>
        <v>259.42257182194209</v>
      </c>
      <c r="L46" s="198">
        <f>INDEX('Raw Sales Forecasting Data'!$J$11:$N$126,MATCH('2.  Sales Data Key &amp; Key-Lyn'!$C46,'Raw Sales Forecasting Data'!$C$11:$C$126,0),MATCH('2.  Sales Data Key &amp; Key-Lyn'!L$6,'Raw Sales Forecasting Data'!$J$10:$N$10,0))</f>
        <v>281.17057883720292</v>
      </c>
      <c r="M46" s="198">
        <f>INDEX('Raw Sales Forecasting Data'!$J$11:$N$126,MATCH('2.  Sales Data Key &amp; Key-Lyn'!$C46,'Raw Sales Forecasting Data'!$C$11:$C$126,0),MATCH('2.  Sales Data Key &amp; Key-Lyn'!M$6,'Raw Sales Forecasting Data'!$J$10:$N$10,0))</f>
        <v>279.10125178966882</v>
      </c>
      <c r="N46" s="198">
        <f>INDEX('Raw Sales Forecasting Data'!$J$11:$N$126,MATCH('2.  Sales Data Key &amp; Key-Lyn'!$C46,'Raw Sales Forecasting Data'!$C$11:$C$126,0),MATCH('2.  Sales Data Key &amp; Key-Lyn'!N$6,'Raw Sales Forecasting Data'!$J$10:$N$10,0))</f>
        <v>291.60198176207177</v>
      </c>
      <c r="O46" s="238">
        <f>INDEX('Raw Sales Forecasting Data'!$J$11:$N$126,MATCH('2.  Sales Data Key &amp; Key-Lyn'!$C46,'Raw Sales Forecasting Data'!$C$11:$C$126,0),MATCH('2.  Sales Data Key &amp; Key-Lyn'!O$6,'Raw Sales Forecasting Data'!$J$10:$N$10,0))</f>
        <v>332.19413776499317</v>
      </c>
      <c r="P46" s="240">
        <f>IF(AND($E46&gt;='Launch flag &amp; Life-Cycle Factor'!$F$24, $E46&lt;='Launch flag &amp; Life-Cycle Factor'!$E$24),'Launch flag &amp; Life-Cycle Factor'!$H$24, IF(AND($E46&gt;='Launch flag &amp; Life-Cycle Factor'!$F$23, $E46&lt;='Launch flag &amp; Life-Cycle Factor'!$E$23),'Launch flag &amp; Life-Cycle Factor'!$H$23, IF(AND($E46&gt;='Launch flag &amp; Life-Cycle Factor'!$F$22, $E46&lt;='Launch flag &amp; Life-Cycle Factor'!$E$22),'Launch flag &amp; Life-Cycle Factor'!$H$22, IF(AND($E46&gt;='Launch flag &amp; Life-Cycle Factor'!$F$21, $E46&lt;='Launch flag &amp; Life-Cycle Factor'!$E$21),'Launch flag &amp; Life-Cycle Factor'!$H$21, IF(AND($E46&gt;='Launch flag &amp; Life-Cycle Factor'!$F$20, $E46&lt;='Launch flag &amp; Life-Cycle Factor'!$E$20),'Launch flag &amp; Life-Cycle Factor'!$H$20, IF(AND($E46&gt;='Launch flag &amp; Life-Cycle Factor'!$F$19, $E46&lt;='Launch flag &amp; Life-Cycle Factor'!$E$19),'Launch flag &amp; Life-Cycle Factor'!$H$19, IF(AND($E46&gt;='Launch flag &amp; Life-Cycle Factor'!$F$18, $E46&lt;='Launch flag &amp; Life-Cycle Factor'!$E$18),'Launch flag &amp; Life-Cycle Factor'!$H$18, IF(AND($E46&gt;='Launch flag &amp; Life-Cycle Factor'!$F$17, $E46&lt;='Launch flag &amp; Life-Cycle Factor'!$E$17),'Launch flag &amp; Life-Cycle Factor'!$H$17, IF(AND($E46&gt;='Launch flag &amp; Life-Cycle Factor'!$F$16, $E46&lt;='Launch flag &amp; Life-Cycle Factor'!$E$16),'Launch flag &amp; Life-Cycle Factor'!$H$16,IF(AND($E46&gt;='Launch flag &amp; Life-Cycle Factor'!$F$15, $E46&lt;='Launch flag &amp; Life-Cycle Factor'!$E$15),'Launch flag &amp; Life-Cycle Factor'!$H$15, IF(AND($E46&gt;='Launch flag &amp; Life-Cycle Factor'!$F$14, $E46&lt;='Launch flag &amp; Life-Cycle Factor'!$E$14),'Launch flag &amp; Life-Cycle Factor'!$H$14,IF(AND($E46&gt;='Launch flag &amp; Life-Cycle Factor'!$F$13, $E46&lt;='Launch flag &amp; Life-Cycle Factor'!$E$13),'Launch flag &amp; Life-Cycle Factor'!$H$13, IF(AND($E46&gt;='Launch flag &amp; Life-Cycle Factor'!$F$12, $E46&lt;='Launch flag &amp; Life-Cycle Factor'!$E$12),'Launch flag &amp; Life-Cycle Factor'!$H$12, IF(AND($E46&gt;='Launch flag &amp; Life-Cycle Factor'!$F$11, $E46&lt;='Launch flag &amp; Life-Cycle Factor'!$E$11),'Launch flag &amp; Life-Cycle Factor'!$H$11, IF(AND($E46&gt;='Launch flag &amp; Life-Cycle Factor'!$F$10, $E46&lt;='Launch flag &amp; Life-Cycle Factor'!$E$10),'Launch flag &amp; Life-Cycle Factor'!$H$10, IF(AND($E46&gt;='Launch flag &amp; Life-Cycle Factor'!$F$9, $E46&lt;='Launch flag &amp; Life-Cycle Factor'!$E$9),'Launch flag &amp; Life-Cycle Factor'!$H$9, IF(AND($E46&gt;='Launch flag &amp; Life-Cycle Factor'!$F$8, $E46&lt;='Launch flag &amp; Life-Cycle Factor'!$E$8),'Launch flag &amp; Life-Cycle Factor'!$H$8, IF(AND($E46&gt;='Launch flag &amp; Life-Cycle Factor'!$F$7, $E46&lt;='Launch flag &amp; Life-Cycle Factor'!$E$7),'Launch flag &amp; Life-Cycle Factor'!$H$7, IF(AND($E46&gt;='Launch flag &amp; Life-Cycle Factor'!$F$6, $E46&lt;='Launch flag &amp; Life-Cycle Factor'!$E$6),'Launch flag &amp; Life-Cycle Factor'!$H$6, "-")))))))))))))))))))</f>
        <v>0.65</v>
      </c>
      <c r="Q46" s="655">
        <f>IF(AND($E46&gt;='Launch flag &amp; Life-Cycle Factor'!$F$24, $E46&lt;='Launch flag &amp; Life-Cycle Factor'!$E$24),'Launch flag &amp; Life-Cycle Factor'!$I$24, IF(AND($E46&gt;='Launch flag &amp; Life-Cycle Factor'!$F$23, $E46&lt;='Launch flag &amp; Life-Cycle Factor'!$E$23),'Launch flag &amp; Life-Cycle Factor'!$I$23, IF(AND($E46&gt;='Launch flag &amp; Life-Cycle Factor'!$F$22, $E46&lt;='Launch flag &amp; Life-Cycle Factor'!$E$22),'Launch flag &amp; Life-Cycle Factor'!$I$22, IF(AND($E46&gt;='Launch flag &amp; Life-Cycle Factor'!$F$21, $E46&lt;='Launch flag &amp; Life-Cycle Factor'!$E$21),'Launch flag &amp; Life-Cycle Factor'!$I$21, IF(AND($E46&gt;='Launch flag &amp; Life-Cycle Factor'!$F$20, $E46&lt;='Launch flag &amp; Life-Cycle Factor'!$E$20),'Launch flag &amp; Life-Cycle Factor'!$I$20, IF(AND($E46&gt;='Launch flag &amp; Life-Cycle Factor'!$F$19, $E46&lt;='Launch flag &amp; Life-Cycle Factor'!$E$19),'Launch flag &amp; Life-Cycle Factor'!$I$19, IF(AND($E46&gt;='Launch flag &amp; Life-Cycle Factor'!$F$18, $E46&lt;='Launch flag &amp; Life-Cycle Factor'!$E$18),'Launch flag &amp; Life-Cycle Factor'!$I$18, IF(AND($E46&gt;='Launch flag &amp; Life-Cycle Factor'!$F$17, $E46&lt;='Launch flag &amp; Life-Cycle Factor'!$E$17),'Launch flag &amp; Life-Cycle Factor'!$I$17, IF(AND($E46&gt;='Launch flag &amp; Life-Cycle Factor'!$F$16, $E46&lt;='Launch flag &amp; Life-Cycle Factor'!$E$16),'Launch flag &amp; Life-Cycle Factor'!$I$16,IF(AND($E46&gt;='Launch flag &amp; Life-Cycle Factor'!$F$15, $E46&lt;='Launch flag &amp; Life-Cycle Factor'!$E$15),'Launch flag &amp; Life-Cycle Factor'!$I$15, IF(AND($E46&gt;='Launch flag &amp; Life-Cycle Factor'!$F$14, $E46&lt;='Launch flag &amp; Life-Cycle Factor'!$E$14),'Launch flag &amp; Life-Cycle Factor'!$I$14,IF(AND($E46&gt;='Launch flag &amp; Life-Cycle Factor'!$F$13, $E46&lt;='Launch flag &amp; Life-Cycle Factor'!$E$13),'Launch flag &amp; Life-Cycle Factor'!$I$13, IF(AND($E46&gt;='Launch flag &amp; Life-Cycle Factor'!$F$12, $E46&lt;='Launch flag &amp; Life-Cycle Factor'!$E$12),'Launch flag &amp; Life-Cycle Factor'!$I$12, IF(AND($E46&gt;='Launch flag &amp; Life-Cycle Factor'!$F$11, $E46&lt;='Launch flag &amp; Life-Cycle Factor'!$E$11),'Launch flag &amp; Life-Cycle Factor'!$I$11, IF(AND($E46&gt;='Launch flag &amp; Life-Cycle Factor'!$F$10, $E46&lt;='Launch flag &amp; Life-Cycle Factor'!$E$10),'Launch flag &amp; Life-Cycle Factor'!$I$10, IF(AND($E46&gt;='Launch flag &amp; Life-Cycle Factor'!$F$9, $E46&lt;='Launch flag &amp; Life-Cycle Factor'!$E$9),'Launch flag &amp; Life-Cycle Factor'!$I$9, IF(AND($E46&gt;='Launch flag &amp; Life-Cycle Factor'!$F$8, $E46&lt;='Launch flag &amp; Life-Cycle Factor'!$E$8),'Launch flag &amp; Life-Cycle Factor'!$I$8, IF(AND($E46&gt;='Launch flag &amp; Life-Cycle Factor'!$F$7, $E46&lt;='Launch flag &amp; Life-Cycle Factor'!$E$7),'Launch flag &amp; Life-Cycle Factor'!$I$7, IF(AND($E46&gt;='Launch flag &amp; Life-Cycle Factor'!$F$6, $E46&lt;='Launch flag &amp; Life-Cycle Factor'!$E$6),'Launch flag &amp; Life-Cycle Factor'!$I$6, "-")))))))))))))))))))</f>
        <v>0.35</v>
      </c>
      <c r="R46" s="662">
        <f t="shared" si="0"/>
        <v>182.7608762441819</v>
      </c>
      <c r="S46" s="663">
        <f t="shared" si="1"/>
        <v>97.685438126384085</v>
      </c>
      <c r="T46" s="242">
        <f t="shared" si="2"/>
        <v>182.7608762441819</v>
      </c>
      <c r="U46" s="243">
        <f t="shared" si="3"/>
        <v>97.685438126384085</v>
      </c>
      <c r="V46" s="837">
        <f t="shared" si="4"/>
        <v>280.44631437056597</v>
      </c>
      <c r="W46" s="838">
        <f t="shared" si="5"/>
        <v>280.44631437056597</v>
      </c>
      <c r="X46" s="672"/>
    </row>
    <row r="47" spans="2:24" x14ac:dyDescent="0.35">
      <c r="B47" s="613" t="s">
        <v>469</v>
      </c>
      <c r="C47" s="614" t="s">
        <v>233</v>
      </c>
      <c r="D47" s="615" t="str">
        <f>IF(AND($E47&gt;='Launch flag &amp; Life-Cycle Factor'!$F$24, $E47&lt;='Launch flag &amp; Life-Cycle Factor'!$E$24),'Launch flag &amp; Life-Cycle Factor'!$B$24, IF(AND($E47&gt;='Launch flag &amp; Life-Cycle Factor'!$F$23, $E47&lt;='Launch flag &amp; Life-Cycle Factor'!$E$23),'Launch flag &amp; Life-Cycle Factor'!$B$23, IF(AND($E47&gt;='Launch flag &amp; Life-Cycle Factor'!$F$22, $E47&lt;='Launch flag &amp; Life-Cycle Factor'!$E$22),'Launch flag &amp; Life-Cycle Factor'!$B$22, IF(AND($E47&gt;='Launch flag &amp; Life-Cycle Factor'!$F$21, $E47&lt;='Launch flag &amp; Life-Cycle Factor'!$E$21),'Launch flag &amp; Life-Cycle Factor'!$B$21, IF(AND($E47&gt;='Launch flag &amp; Life-Cycle Factor'!$F$20, $E47&lt;='Launch flag &amp; Life-Cycle Factor'!$E$20),'Launch flag &amp; Life-Cycle Factor'!$B$20, IF(AND($E47&gt;='Launch flag &amp; Life-Cycle Factor'!$F$19, $E47&lt;='Launch flag &amp; Life-Cycle Factor'!$E$19),'Launch flag &amp; Life-Cycle Factor'!$B$19, IF(AND($E47&gt;='Launch flag &amp; Life-Cycle Factor'!$F$18, $E47&lt;='Launch flag &amp; Life-Cycle Factor'!$E$18),'Launch flag &amp; Life-Cycle Factor'!$B$18, IF(AND($E47&gt;='Launch flag &amp; Life-Cycle Factor'!$F$17, $E47&lt;='Launch flag &amp; Life-Cycle Factor'!$E$17),'Launch flag &amp; Life-Cycle Factor'!$B$17, IF(AND($E47&gt;='Launch flag &amp; Life-Cycle Factor'!$F$16, $E47&lt;='Launch flag &amp; Life-Cycle Factor'!$E$16),'Launch flag &amp; Life-Cycle Factor'!$B$16,IF(AND($E47&gt;='Launch flag &amp; Life-Cycle Factor'!$F$15, $E47&lt;='Launch flag &amp; Life-Cycle Factor'!$E$15),'Launch flag &amp; Life-Cycle Factor'!$B$15, IF(AND($E47&gt;='Launch flag &amp; Life-Cycle Factor'!$F$14, $E47&lt;='Launch flag &amp; Life-Cycle Factor'!$E$14),'Launch flag &amp; Life-Cycle Factor'!$B$14,IF(AND($E47&gt;='Launch flag &amp; Life-Cycle Factor'!$F$13, $E47&lt;='Launch flag &amp; Life-Cycle Factor'!$E$13),'Launch flag &amp; Life-Cycle Factor'!$B$13, IF(AND($E47&gt;='Launch flag &amp; Life-Cycle Factor'!$F$12, $E47&lt;='Launch flag &amp; Life-Cycle Factor'!$E$12),'Launch flag &amp; Life-Cycle Factor'!$B$12, IF(AND($E47&gt;='Launch flag &amp; Life-Cycle Factor'!$F$11, $E47&lt;='Launch flag &amp; Life-Cycle Factor'!$E$11),'Launch flag &amp; Life-Cycle Factor'!$B$11, IF(AND($E47&gt;='Launch flag &amp; Life-Cycle Factor'!$F$10, $E47&lt;='Launch flag &amp; Life-Cycle Factor'!$E$10),'Launch flag &amp; Life-Cycle Factor'!$B$10, IF(AND($E47&gt;='Launch flag &amp; Life-Cycle Factor'!$F$9, $E47&lt;='Launch flag &amp; Life-Cycle Factor'!$E$9),'Launch flag &amp; Life-Cycle Factor'!$B$9, IF(AND($E47&gt;='Launch flag &amp; Life-Cycle Factor'!$F$8, $E47&lt;='Launch flag &amp; Life-Cycle Factor'!$E$8),'Launch flag &amp; Life-Cycle Factor'!$B$8, IF(AND($E47&gt;='Launch flag &amp; Life-Cycle Factor'!$F$7, $E47&lt;='Launch flag &amp; Life-Cycle Factor'!$E$7),'Launch flag &amp; Life-Cycle Factor'!$B$7, IF(AND($E47&gt;='Launch flag &amp; Life-Cycle Factor'!$F$6, $E47&lt;='Launch flag &amp; Life-Cycle Factor'!$E$6),'Launch flag &amp; Life-Cycle Factor'!$B$6, "-")))))))))))))))))))</f>
        <v>Planning Year</v>
      </c>
      <c r="E47" s="616">
        <f>INDEX('NPS with launch Dates '!$J$6:$J$59,MATCH('2.  Sales Data Key &amp; Key-Lyn'!$C47,'NPS with launch Dates '!$I$6:$I$59,0))</f>
        <v>45475</v>
      </c>
      <c r="F47" s="617">
        <f>INDEX('Raw Sales Forecasting Data'!$D$11:$H$126,MATCH('2.  Sales Data Key &amp; Key-Lyn'!$C47,'Raw Sales Forecasting Data'!$C$11:$C$126,0),MATCH('2.  Sales Data Key &amp; Key-Lyn'!F$6,'Raw Sales Forecasting Data'!$D$10:$H$10,0))</f>
        <v>0</v>
      </c>
      <c r="G47" s="618">
        <f>INDEX('Raw Sales Forecasting Data'!$D$11:$H$126,MATCH('2.  Sales Data Key &amp; Key-Lyn'!$C47,'Raw Sales Forecasting Data'!$C$11:$C$126,0),MATCH('2.  Sales Data Key &amp; Key-Lyn'!G$6,'Raw Sales Forecasting Data'!$D$10:$H$10,0))</f>
        <v>14.259934957529339</v>
      </c>
      <c r="H47" s="618">
        <f>INDEX('Raw Sales Forecasting Data'!$D$11:$H$126,MATCH('2.  Sales Data Key &amp; Key-Lyn'!$C47,'Raw Sales Forecasting Data'!$C$11:$C$126,0),MATCH('2.  Sales Data Key &amp; Key-Lyn'!H$6,'Raw Sales Forecasting Data'!$D$10:$H$10,0))</f>
        <v>339.08920458827208</v>
      </c>
      <c r="I47" s="618">
        <f>INDEX('Raw Sales Forecasting Data'!$D$11:$H$126,MATCH('2.  Sales Data Key &amp; Key-Lyn'!$C47,'Raw Sales Forecasting Data'!$C$11:$C$126,0),MATCH('2.  Sales Data Key &amp; Key-Lyn'!I$6,'Raw Sales Forecasting Data'!$D$10:$H$10,0))</f>
        <v>611.47813791393548</v>
      </c>
      <c r="J47" s="619">
        <f>INDEX('Raw Sales Forecasting Data'!$D$11:$H$126,MATCH('2.  Sales Data Key &amp; Key-Lyn'!$C47,'Raw Sales Forecasting Data'!$C$11:$C$126,0),MATCH('2.  Sales Data Key &amp; Key-Lyn'!J$6,'Raw Sales Forecasting Data'!$D$10:$H$10,0))</f>
        <v>520.20055622732093</v>
      </c>
      <c r="K47" s="620">
        <f>INDEX('Raw Sales Forecasting Data'!$J$11:$N$126,MATCH('2.  Sales Data Key &amp; Key-Lyn'!$C47,'Raw Sales Forecasting Data'!$C$11:$C$126,0),MATCH('2.  Sales Data Key &amp; Key-Lyn'!K$6,'Raw Sales Forecasting Data'!$J$10:$N$10,0))</f>
        <v>0</v>
      </c>
      <c r="L47" s="618">
        <f>INDEX('Raw Sales Forecasting Data'!$J$11:$N$126,MATCH('2.  Sales Data Key &amp; Key-Lyn'!$C47,'Raw Sales Forecasting Data'!$C$11:$C$126,0),MATCH('2.  Sales Data Key &amp; Key-Lyn'!L$6,'Raw Sales Forecasting Data'!$J$10:$N$10,0))</f>
        <v>13.184036124113531</v>
      </c>
      <c r="M47" s="618">
        <f>INDEX('Raw Sales Forecasting Data'!$J$11:$N$126,MATCH('2.  Sales Data Key &amp; Key-Lyn'!$C47,'Raw Sales Forecasting Data'!$C$11:$C$126,0),MATCH('2.  Sales Data Key &amp; Key-Lyn'!M$6,'Raw Sales Forecasting Data'!$J$10:$N$10,0))</f>
        <v>248.68770185174768</v>
      </c>
      <c r="N47" s="618">
        <f>INDEX('Raw Sales Forecasting Data'!$J$11:$N$126,MATCH('2.  Sales Data Key &amp; Key-Lyn'!$C47,'Raw Sales Forecasting Data'!$C$11:$C$126,0),MATCH('2.  Sales Data Key &amp; Key-Lyn'!N$6,'Raw Sales Forecasting Data'!$J$10:$N$10,0))</f>
        <v>248.68770185174768</v>
      </c>
      <c r="O47" s="621">
        <f>INDEX('Raw Sales Forecasting Data'!$J$11:$N$126,MATCH('2.  Sales Data Key &amp; Key-Lyn'!$C47,'Raw Sales Forecasting Data'!$C$11:$C$126,0),MATCH('2.  Sales Data Key &amp; Key-Lyn'!O$6,'Raw Sales Forecasting Data'!$J$10:$N$10,0))</f>
        <v>450.41448603428347</v>
      </c>
      <c r="P47" s="657">
        <f>IF(AND($E47&gt;='Launch flag &amp; Life-Cycle Factor'!$F$24, $E47&lt;='Launch flag &amp; Life-Cycle Factor'!$E$24),'Launch flag &amp; Life-Cycle Factor'!$H$24, IF(AND($E47&gt;='Launch flag &amp; Life-Cycle Factor'!$F$23, $E47&lt;='Launch flag &amp; Life-Cycle Factor'!$E$23),'Launch flag &amp; Life-Cycle Factor'!$H$23, IF(AND($E47&gt;='Launch flag &amp; Life-Cycle Factor'!$F$22, $E47&lt;='Launch flag &amp; Life-Cycle Factor'!$E$22),'Launch flag &amp; Life-Cycle Factor'!$H$22, IF(AND($E47&gt;='Launch flag &amp; Life-Cycle Factor'!$F$21, $E47&lt;='Launch flag &amp; Life-Cycle Factor'!$E$21),'Launch flag &amp; Life-Cycle Factor'!$H$21, IF(AND($E47&gt;='Launch flag &amp; Life-Cycle Factor'!$F$20, $E47&lt;='Launch flag &amp; Life-Cycle Factor'!$E$20),'Launch flag &amp; Life-Cycle Factor'!$H$20, IF(AND($E47&gt;='Launch flag &amp; Life-Cycle Factor'!$F$19, $E47&lt;='Launch flag &amp; Life-Cycle Factor'!$E$19),'Launch flag &amp; Life-Cycle Factor'!$H$19, IF(AND($E47&gt;='Launch flag &amp; Life-Cycle Factor'!$F$18, $E47&lt;='Launch flag &amp; Life-Cycle Factor'!$E$18),'Launch flag &amp; Life-Cycle Factor'!$H$18, IF(AND($E47&gt;='Launch flag &amp; Life-Cycle Factor'!$F$17, $E47&lt;='Launch flag &amp; Life-Cycle Factor'!$E$17),'Launch flag &amp; Life-Cycle Factor'!$H$17, IF(AND($E47&gt;='Launch flag &amp; Life-Cycle Factor'!$F$16, $E47&lt;='Launch flag &amp; Life-Cycle Factor'!$E$16),'Launch flag &amp; Life-Cycle Factor'!$H$16,IF(AND($E47&gt;='Launch flag &amp; Life-Cycle Factor'!$F$15, $E47&lt;='Launch flag &amp; Life-Cycle Factor'!$E$15),'Launch flag &amp; Life-Cycle Factor'!$H$15, IF(AND($E47&gt;='Launch flag &amp; Life-Cycle Factor'!$F$14, $E47&lt;='Launch flag &amp; Life-Cycle Factor'!$E$14),'Launch flag &amp; Life-Cycle Factor'!$H$14,IF(AND($E47&gt;='Launch flag &amp; Life-Cycle Factor'!$F$13, $E47&lt;='Launch flag &amp; Life-Cycle Factor'!$E$13),'Launch flag &amp; Life-Cycle Factor'!$H$13, IF(AND($E47&gt;='Launch flag &amp; Life-Cycle Factor'!$F$12, $E47&lt;='Launch flag &amp; Life-Cycle Factor'!$E$12),'Launch flag &amp; Life-Cycle Factor'!$H$12, IF(AND($E47&gt;='Launch flag &amp; Life-Cycle Factor'!$F$11, $E47&lt;='Launch flag &amp; Life-Cycle Factor'!$E$11),'Launch flag &amp; Life-Cycle Factor'!$H$11, IF(AND($E47&gt;='Launch flag &amp; Life-Cycle Factor'!$F$10, $E47&lt;='Launch flag &amp; Life-Cycle Factor'!$E$10),'Launch flag &amp; Life-Cycle Factor'!$H$10, IF(AND($E47&gt;='Launch flag &amp; Life-Cycle Factor'!$F$9, $E47&lt;='Launch flag &amp; Life-Cycle Factor'!$E$9),'Launch flag &amp; Life-Cycle Factor'!$H$9, IF(AND($E47&gt;='Launch flag &amp; Life-Cycle Factor'!$F$8, $E47&lt;='Launch flag &amp; Life-Cycle Factor'!$E$8),'Launch flag &amp; Life-Cycle Factor'!$H$8, IF(AND($E47&gt;='Launch flag &amp; Life-Cycle Factor'!$F$7, $E47&lt;='Launch flag &amp; Life-Cycle Factor'!$E$7),'Launch flag &amp; Life-Cycle Factor'!$H$7, IF(AND($E47&gt;='Launch flag &amp; Life-Cycle Factor'!$F$6, $E47&lt;='Launch flag &amp; Life-Cycle Factor'!$E$6),'Launch flag &amp; Life-Cycle Factor'!$H$6, "-")))))))))))))))))))</f>
        <v>0.3</v>
      </c>
      <c r="Q47" s="658">
        <f>IF(AND($E47&gt;='Launch flag &amp; Life-Cycle Factor'!$F$24, $E47&lt;='Launch flag &amp; Life-Cycle Factor'!$E$24),'Launch flag &amp; Life-Cycle Factor'!$I$24, IF(AND($E47&gt;='Launch flag &amp; Life-Cycle Factor'!$F$23, $E47&lt;='Launch flag &amp; Life-Cycle Factor'!$E$23),'Launch flag &amp; Life-Cycle Factor'!$I$23, IF(AND($E47&gt;='Launch flag &amp; Life-Cycle Factor'!$F$22, $E47&lt;='Launch flag &amp; Life-Cycle Factor'!$E$22),'Launch flag &amp; Life-Cycle Factor'!$I$22, IF(AND($E47&gt;='Launch flag &amp; Life-Cycle Factor'!$F$21, $E47&lt;='Launch flag &amp; Life-Cycle Factor'!$E$21),'Launch flag &amp; Life-Cycle Factor'!$I$21, IF(AND($E47&gt;='Launch flag &amp; Life-Cycle Factor'!$F$20, $E47&lt;='Launch flag &amp; Life-Cycle Factor'!$E$20),'Launch flag &amp; Life-Cycle Factor'!$I$20, IF(AND($E47&gt;='Launch flag &amp; Life-Cycle Factor'!$F$19, $E47&lt;='Launch flag &amp; Life-Cycle Factor'!$E$19),'Launch flag &amp; Life-Cycle Factor'!$I$19, IF(AND($E47&gt;='Launch flag &amp; Life-Cycle Factor'!$F$18, $E47&lt;='Launch flag &amp; Life-Cycle Factor'!$E$18),'Launch flag &amp; Life-Cycle Factor'!$I$18, IF(AND($E47&gt;='Launch flag &amp; Life-Cycle Factor'!$F$17, $E47&lt;='Launch flag &amp; Life-Cycle Factor'!$E$17),'Launch flag &amp; Life-Cycle Factor'!$I$17, IF(AND($E47&gt;='Launch flag &amp; Life-Cycle Factor'!$F$16, $E47&lt;='Launch flag &amp; Life-Cycle Factor'!$E$16),'Launch flag &amp; Life-Cycle Factor'!$I$16,IF(AND($E47&gt;='Launch flag &amp; Life-Cycle Factor'!$F$15, $E47&lt;='Launch flag &amp; Life-Cycle Factor'!$E$15),'Launch flag &amp; Life-Cycle Factor'!$I$15, IF(AND($E47&gt;='Launch flag &amp; Life-Cycle Factor'!$F$14, $E47&lt;='Launch flag &amp; Life-Cycle Factor'!$E$14),'Launch flag &amp; Life-Cycle Factor'!$I$14,IF(AND($E47&gt;='Launch flag &amp; Life-Cycle Factor'!$F$13, $E47&lt;='Launch flag &amp; Life-Cycle Factor'!$E$13),'Launch flag &amp; Life-Cycle Factor'!$I$13, IF(AND($E47&gt;='Launch flag &amp; Life-Cycle Factor'!$F$12, $E47&lt;='Launch flag &amp; Life-Cycle Factor'!$E$12),'Launch flag &amp; Life-Cycle Factor'!$I$12, IF(AND($E47&gt;='Launch flag &amp; Life-Cycle Factor'!$F$11, $E47&lt;='Launch flag &amp; Life-Cycle Factor'!$E$11),'Launch flag &amp; Life-Cycle Factor'!$I$11, IF(AND($E47&gt;='Launch flag &amp; Life-Cycle Factor'!$F$10, $E47&lt;='Launch flag &amp; Life-Cycle Factor'!$E$10),'Launch flag &amp; Life-Cycle Factor'!$I$10, IF(AND($E47&gt;='Launch flag &amp; Life-Cycle Factor'!$F$9, $E47&lt;='Launch flag &amp; Life-Cycle Factor'!$E$9),'Launch flag &amp; Life-Cycle Factor'!$I$9, IF(AND($E47&gt;='Launch flag &amp; Life-Cycle Factor'!$F$8, $E47&lt;='Launch flag &amp; Life-Cycle Factor'!$E$8),'Launch flag &amp; Life-Cycle Factor'!$I$8, IF(AND($E47&gt;='Launch flag &amp; Life-Cycle Factor'!$F$7, $E47&lt;='Launch flag &amp; Life-Cycle Factor'!$E$7),'Launch flag &amp; Life-Cycle Factor'!$I$7, IF(AND($E47&gt;='Launch flag &amp; Life-Cycle Factor'!$F$6, $E47&lt;='Launch flag &amp; Life-Cycle Factor'!$E$6),'Launch flag &amp; Life-Cycle Factor'!$I$6, "-")))))))))))))))))))</f>
        <v>0.7</v>
      </c>
      <c r="R47" s="666">
        <f t="shared" si="0"/>
        <v>4.2779804872588016</v>
      </c>
      <c r="S47" s="667">
        <f t="shared" si="1"/>
        <v>237.36244321179043</v>
      </c>
      <c r="T47" s="671">
        <f t="shared" si="2"/>
        <v>3.9552108372340591</v>
      </c>
      <c r="U47" s="653">
        <f t="shared" si="3"/>
        <v>174.08139129622336</v>
      </c>
      <c r="V47" s="841">
        <f t="shared" si="4"/>
        <v>241.64042369904922</v>
      </c>
      <c r="W47" s="842">
        <f t="shared" si="5"/>
        <v>178.03660213345742</v>
      </c>
      <c r="X47" s="672"/>
    </row>
    <row r="48" spans="2:24" x14ac:dyDescent="0.35">
      <c r="B48" s="281" t="s">
        <v>43</v>
      </c>
      <c r="C48" s="622" t="s">
        <v>239</v>
      </c>
      <c r="D48" s="623" t="str">
        <f>IF(AND($E48&gt;='Launch flag &amp; Life-Cycle Factor'!$F$24, $E48&lt;='Launch flag &amp; Life-Cycle Factor'!$E$24),'Launch flag &amp; Life-Cycle Factor'!$B$24, IF(AND($E48&gt;='Launch flag &amp; Life-Cycle Factor'!$F$23, $E48&lt;='Launch flag &amp; Life-Cycle Factor'!$E$23),'Launch flag &amp; Life-Cycle Factor'!$B$23, IF(AND($E48&gt;='Launch flag &amp; Life-Cycle Factor'!$F$22, $E48&lt;='Launch flag &amp; Life-Cycle Factor'!$E$22),'Launch flag &amp; Life-Cycle Factor'!$B$22, IF(AND($E48&gt;='Launch flag &amp; Life-Cycle Factor'!$F$21, $E48&lt;='Launch flag &amp; Life-Cycle Factor'!$E$21),'Launch flag &amp; Life-Cycle Factor'!$B$21, IF(AND($E48&gt;='Launch flag &amp; Life-Cycle Factor'!$F$20, $E48&lt;='Launch flag &amp; Life-Cycle Factor'!$E$20),'Launch flag &amp; Life-Cycle Factor'!$B$20, IF(AND($E48&gt;='Launch flag &amp; Life-Cycle Factor'!$F$19, $E48&lt;='Launch flag &amp; Life-Cycle Factor'!$E$19),'Launch flag &amp; Life-Cycle Factor'!$B$19, IF(AND($E48&gt;='Launch flag &amp; Life-Cycle Factor'!$F$18, $E48&lt;='Launch flag &amp; Life-Cycle Factor'!$E$18),'Launch flag &amp; Life-Cycle Factor'!$B$18, IF(AND($E48&gt;='Launch flag &amp; Life-Cycle Factor'!$F$17, $E48&lt;='Launch flag &amp; Life-Cycle Factor'!$E$17),'Launch flag &amp; Life-Cycle Factor'!$B$17, IF(AND($E48&gt;='Launch flag &amp; Life-Cycle Factor'!$F$16, $E48&lt;='Launch flag &amp; Life-Cycle Factor'!$E$16),'Launch flag &amp; Life-Cycle Factor'!$B$16,IF(AND($E48&gt;='Launch flag &amp; Life-Cycle Factor'!$F$15, $E48&lt;='Launch flag &amp; Life-Cycle Factor'!$E$15),'Launch flag &amp; Life-Cycle Factor'!$B$15, IF(AND($E48&gt;='Launch flag &amp; Life-Cycle Factor'!$F$14, $E48&lt;='Launch flag &amp; Life-Cycle Factor'!$E$14),'Launch flag &amp; Life-Cycle Factor'!$B$14,IF(AND($E48&gt;='Launch flag &amp; Life-Cycle Factor'!$F$13, $E48&lt;='Launch flag &amp; Life-Cycle Factor'!$E$13),'Launch flag &amp; Life-Cycle Factor'!$B$13, IF(AND($E48&gt;='Launch flag &amp; Life-Cycle Factor'!$F$12, $E48&lt;='Launch flag &amp; Life-Cycle Factor'!$E$12),'Launch flag &amp; Life-Cycle Factor'!$B$12, IF(AND($E48&gt;='Launch flag &amp; Life-Cycle Factor'!$F$11, $E48&lt;='Launch flag &amp; Life-Cycle Factor'!$E$11),'Launch flag &amp; Life-Cycle Factor'!$B$11, IF(AND($E48&gt;='Launch flag &amp; Life-Cycle Factor'!$F$10, $E48&lt;='Launch flag &amp; Life-Cycle Factor'!$E$10),'Launch flag &amp; Life-Cycle Factor'!$B$10, IF(AND($E48&gt;='Launch flag &amp; Life-Cycle Factor'!$F$9, $E48&lt;='Launch flag &amp; Life-Cycle Factor'!$E$9),'Launch flag &amp; Life-Cycle Factor'!$B$9, IF(AND($E48&gt;='Launch flag &amp; Life-Cycle Factor'!$F$8, $E48&lt;='Launch flag &amp; Life-Cycle Factor'!$E$8),'Launch flag &amp; Life-Cycle Factor'!$B$8, IF(AND($E48&gt;='Launch flag &amp; Life-Cycle Factor'!$F$7, $E48&lt;='Launch flag &amp; Life-Cycle Factor'!$E$7),'Launch flag &amp; Life-Cycle Factor'!$B$7, IF(AND($E48&gt;='Launch flag &amp; Life-Cycle Factor'!$F$6, $E48&lt;='Launch flag &amp; Life-Cycle Factor'!$E$6),'Launch flag &amp; Life-Cycle Factor'!$B$6, "-")))))))))))))))))))</f>
        <v>-</v>
      </c>
      <c r="E48" s="624">
        <f>INDEX('NPS with launch Dates '!$J$6:$J$59,MATCH('2.  Sales Data Key &amp; Key-Lyn'!$C48,'NPS with launch Dates '!$I$6:$I$59,0))</f>
        <v>46540</v>
      </c>
      <c r="F48" s="625">
        <f>INDEX('Raw Sales Forecasting Data'!$D$11:$H$126,MATCH('2.  Sales Data Key &amp; Key-Lyn'!$C48,'Raw Sales Forecasting Data'!$C$11:$C$126,0),MATCH('2.  Sales Data Key &amp; Key-Lyn'!F$6,'Raw Sales Forecasting Data'!$D$10:$H$10,0))</f>
        <v>0</v>
      </c>
      <c r="G48" s="626">
        <f>INDEX('Raw Sales Forecasting Data'!$D$11:$H$126,MATCH('2.  Sales Data Key &amp; Key-Lyn'!$C48,'Raw Sales Forecasting Data'!$C$11:$C$126,0),MATCH('2.  Sales Data Key &amp; Key-Lyn'!G$6,'Raw Sales Forecasting Data'!$D$10:$H$10,0))</f>
        <v>0</v>
      </c>
      <c r="H48" s="626">
        <f>INDEX('Raw Sales Forecasting Data'!$D$11:$H$126,MATCH('2.  Sales Data Key &amp; Key-Lyn'!$C48,'Raw Sales Forecasting Data'!$C$11:$C$126,0),MATCH('2.  Sales Data Key &amp; Key-Lyn'!H$6,'Raw Sales Forecasting Data'!$D$10:$H$10,0))</f>
        <v>0</v>
      </c>
      <c r="I48" s="626">
        <f>INDEX('Raw Sales Forecasting Data'!$D$11:$H$126,MATCH('2.  Sales Data Key &amp; Key-Lyn'!$C48,'Raw Sales Forecasting Data'!$C$11:$C$126,0),MATCH('2.  Sales Data Key &amp; Key-Lyn'!I$6,'Raw Sales Forecasting Data'!$D$10:$H$10,0))</f>
        <v>7.5</v>
      </c>
      <c r="J48" s="627">
        <f>INDEX('Raw Sales Forecasting Data'!$D$11:$H$126,MATCH('2.  Sales Data Key &amp; Key-Lyn'!$C48,'Raw Sales Forecasting Data'!$C$11:$C$126,0),MATCH('2.  Sales Data Key &amp; Key-Lyn'!J$6,'Raw Sales Forecasting Data'!$D$10:$H$10,0))</f>
        <v>107.8</v>
      </c>
      <c r="K48" s="628">
        <f>INDEX('Raw Sales Forecasting Data'!$J$11:$N$126,MATCH('2.  Sales Data Key &amp; Key-Lyn'!$C48,'Raw Sales Forecasting Data'!$C$11:$C$126,0),MATCH('2.  Sales Data Key &amp; Key-Lyn'!K$6,'Raw Sales Forecasting Data'!$J$10:$N$10,0))</f>
        <v>0</v>
      </c>
      <c r="L48" s="626">
        <f>INDEX('Raw Sales Forecasting Data'!$J$11:$N$126,MATCH('2.  Sales Data Key &amp; Key-Lyn'!$C48,'Raw Sales Forecasting Data'!$C$11:$C$126,0),MATCH('2.  Sales Data Key &amp; Key-Lyn'!L$6,'Raw Sales Forecasting Data'!$J$10:$N$10,0))</f>
        <v>0</v>
      </c>
      <c r="M48" s="626">
        <f>INDEX('Raw Sales Forecasting Data'!$J$11:$N$126,MATCH('2.  Sales Data Key &amp; Key-Lyn'!$C48,'Raw Sales Forecasting Data'!$C$11:$C$126,0),MATCH('2.  Sales Data Key &amp; Key-Lyn'!M$6,'Raw Sales Forecasting Data'!$J$10:$N$10,0))</f>
        <v>0</v>
      </c>
      <c r="N48" s="626">
        <f>INDEX('Raw Sales Forecasting Data'!$J$11:$N$126,MATCH('2.  Sales Data Key &amp; Key-Lyn'!$C48,'Raw Sales Forecasting Data'!$C$11:$C$126,0),MATCH('2.  Sales Data Key &amp; Key-Lyn'!N$6,'Raw Sales Forecasting Data'!$J$10:$N$10,0))</f>
        <v>7.5</v>
      </c>
      <c r="O48" s="629">
        <f>INDEX('Raw Sales Forecasting Data'!$J$11:$N$126,MATCH('2.  Sales Data Key &amp; Key-Lyn'!$C48,'Raw Sales Forecasting Data'!$C$11:$C$126,0),MATCH('2.  Sales Data Key &amp; Key-Lyn'!O$6,'Raw Sales Forecasting Data'!$J$10:$N$10,0))</f>
        <v>107.8</v>
      </c>
      <c r="P48" s="630" t="str">
        <f>IF(AND($E48&gt;='Launch flag &amp; Life-Cycle Factor'!$F$24, $E48&lt;='Launch flag &amp; Life-Cycle Factor'!$E$24),'Launch flag &amp; Life-Cycle Factor'!$H$24, IF(AND($E48&gt;='Launch flag &amp; Life-Cycle Factor'!$F$23, $E48&lt;='Launch flag &amp; Life-Cycle Factor'!$E$23),'Launch flag &amp; Life-Cycle Factor'!$H$23, IF(AND($E48&gt;='Launch flag &amp; Life-Cycle Factor'!$F$22, $E48&lt;='Launch flag &amp; Life-Cycle Factor'!$E$22),'Launch flag &amp; Life-Cycle Factor'!$H$22, IF(AND($E48&gt;='Launch flag &amp; Life-Cycle Factor'!$F$21, $E48&lt;='Launch flag &amp; Life-Cycle Factor'!$E$21),'Launch flag &amp; Life-Cycle Factor'!$H$21, IF(AND($E48&gt;='Launch flag &amp; Life-Cycle Factor'!$F$20, $E48&lt;='Launch flag &amp; Life-Cycle Factor'!$E$20),'Launch flag &amp; Life-Cycle Factor'!$H$20, IF(AND($E48&gt;='Launch flag &amp; Life-Cycle Factor'!$F$19, $E48&lt;='Launch flag &amp; Life-Cycle Factor'!$E$19),'Launch flag &amp; Life-Cycle Factor'!$H$19, IF(AND($E48&gt;='Launch flag &amp; Life-Cycle Factor'!$F$18, $E48&lt;='Launch flag &amp; Life-Cycle Factor'!$E$18),'Launch flag &amp; Life-Cycle Factor'!$H$18, IF(AND($E48&gt;='Launch flag &amp; Life-Cycle Factor'!$F$17, $E48&lt;='Launch flag &amp; Life-Cycle Factor'!$E$17),'Launch flag &amp; Life-Cycle Factor'!$H$17, IF(AND($E48&gt;='Launch flag &amp; Life-Cycle Factor'!$F$16, $E48&lt;='Launch flag &amp; Life-Cycle Factor'!$E$16),'Launch flag &amp; Life-Cycle Factor'!$H$16,IF(AND($E48&gt;='Launch flag &amp; Life-Cycle Factor'!$F$15, $E48&lt;='Launch flag &amp; Life-Cycle Factor'!$E$15),'Launch flag &amp; Life-Cycle Factor'!$H$15, IF(AND($E48&gt;='Launch flag &amp; Life-Cycle Factor'!$F$14, $E48&lt;='Launch flag &amp; Life-Cycle Factor'!$E$14),'Launch flag &amp; Life-Cycle Factor'!$H$14,IF(AND($E48&gt;='Launch flag &amp; Life-Cycle Factor'!$F$13, $E48&lt;='Launch flag &amp; Life-Cycle Factor'!$E$13),'Launch flag &amp; Life-Cycle Factor'!$H$13, IF(AND($E48&gt;='Launch flag &amp; Life-Cycle Factor'!$F$12, $E48&lt;='Launch flag &amp; Life-Cycle Factor'!$E$12),'Launch flag &amp; Life-Cycle Factor'!$H$12, IF(AND($E48&gt;='Launch flag &amp; Life-Cycle Factor'!$F$11, $E48&lt;='Launch flag &amp; Life-Cycle Factor'!$E$11),'Launch flag &amp; Life-Cycle Factor'!$H$11, IF(AND($E48&gt;='Launch flag &amp; Life-Cycle Factor'!$F$10, $E48&lt;='Launch flag &amp; Life-Cycle Factor'!$E$10),'Launch flag &amp; Life-Cycle Factor'!$H$10, IF(AND($E48&gt;='Launch flag &amp; Life-Cycle Factor'!$F$9, $E48&lt;='Launch flag &amp; Life-Cycle Factor'!$E$9),'Launch flag &amp; Life-Cycle Factor'!$H$9, IF(AND($E48&gt;='Launch flag &amp; Life-Cycle Factor'!$F$8, $E48&lt;='Launch flag &amp; Life-Cycle Factor'!$E$8),'Launch flag &amp; Life-Cycle Factor'!$H$8, IF(AND($E48&gt;='Launch flag &amp; Life-Cycle Factor'!$F$7, $E48&lt;='Launch flag &amp; Life-Cycle Factor'!$E$7),'Launch flag &amp; Life-Cycle Factor'!$H$7, IF(AND($E48&gt;='Launch flag &amp; Life-Cycle Factor'!$F$6, $E48&lt;='Launch flag &amp; Life-Cycle Factor'!$E$6),'Launch flag &amp; Life-Cycle Factor'!$H$6, "-")))))))))))))))))))</f>
        <v>-</v>
      </c>
      <c r="Q48" s="656" t="str">
        <f>IF(AND($E48&gt;='Launch flag &amp; Life-Cycle Factor'!$F$24, $E48&lt;='Launch flag &amp; Life-Cycle Factor'!$E$24),'Launch flag &amp; Life-Cycle Factor'!$I$24, IF(AND($E48&gt;='Launch flag &amp; Life-Cycle Factor'!$F$23, $E48&lt;='Launch flag &amp; Life-Cycle Factor'!$E$23),'Launch flag &amp; Life-Cycle Factor'!$I$23, IF(AND($E48&gt;='Launch flag &amp; Life-Cycle Factor'!$F$22, $E48&lt;='Launch flag &amp; Life-Cycle Factor'!$E$22),'Launch flag &amp; Life-Cycle Factor'!$I$22, IF(AND($E48&gt;='Launch flag &amp; Life-Cycle Factor'!$F$21, $E48&lt;='Launch flag &amp; Life-Cycle Factor'!$E$21),'Launch flag &amp; Life-Cycle Factor'!$I$21, IF(AND($E48&gt;='Launch flag &amp; Life-Cycle Factor'!$F$20, $E48&lt;='Launch flag &amp; Life-Cycle Factor'!$E$20),'Launch flag &amp; Life-Cycle Factor'!$I$20, IF(AND($E48&gt;='Launch flag &amp; Life-Cycle Factor'!$F$19, $E48&lt;='Launch flag &amp; Life-Cycle Factor'!$E$19),'Launch flag &amp; Life-Cycle Factor'!$I$19, IF(AND($E48&gt;='Launch flag &amp; Life-Cycle Factor'!$F$18, $E48&lt;='Launch flag &amp; Life-Cycle Factor'!$E$18),'Launch flag &amp; Life-Cycle Factor'!$I$18, IF(AND($E48&gt;='Launch flag &amp; Life-Cycle Factor'!$F$17, $E48&lt;='Launch flag &amp; Life-Cycle Factor'!$E$17),'Launch flag &amp; Life-Cycle Factor'!$I$17, IF(AND($E48&gt;='Launch flag &amp; Life-Cycle Factor'!$F$16, $E48&lt;='Launch flag &amp; Life-Cycle Factor'!$E$16),'Launch flag &amp; Life-Cycle Factor'!$I$16,IF(AND($E48&gt;='Launch flag &amp; Life-Cycle Factor'!$F$15, $E48&lt;='Launch flag &amp; Life-Cycle Factor'!$E$15),'Launch flag &amp; Life-Cycle Factor'!$I$15, IF(AND($E48&gt;='Launch flag &amp; Life-Cycle Factor'!$F$14, $E48&lt;='Launch flag &amp; Life-Cycle Factor'!$E$14),'Launch flag &amp; Life-Cycle Factor'!$I$14,IF(AND($E48&gt;='Launch flag &amp; Life-Cycle Factor'!$F$13, $E48&lt;='Launch flag &amp; Life-Cycle Factor'!$E$13),'Launch flag &amp; Life-Cycle Factor'!$I$13, IF(AND($E48&gt;='Launch flag &amp; Life-Cycle Factor'!$F$12, $E48&lt;='Launch flag &amp; Life-Cycle Factor'!$E$12),'Launch flag &amp; Life-Cycle Factor'!$I$12, IF(AND($E48&gt;='Launch flag &amp; Life-Cycle Factor'!$F$11, $E48&lt;='Launch flag &amp; Life-Cycle Factor'!$E$11),'Launch flag &amp; Life-Cycle Factor'!$I$11, IF(AND($E48&gt;='Launch flag &amp; Life-Cycle Factor'!$F$10, $E48&lt;='Launch flag &amp; Life-Cycle Factor'!$E$10),'Launch flag &amp; Life-Cycle Factor'!$I$10, IF(AND($E48&gt;='Launch flag &amp; Life-Cycle Factor'!$F$9, $E48&lt;='Launch flag &amp; Life-Cycle Factor'!$E$9),'Launch flag &amp; Life-Cycle Factor'!$I$9, IF(AND($E48&gt;='Launch flag &amp; Life-Cycle Factor'!$F$8, $E48&lt;='Launch flag &amp; Life-Cycle Factor'!$E$8),'Launch flag &amp; Life-Cycle Factor'!$I$8, IF(AND($E48&gt;='Launch flag &amp; Life-Cycle Factor'!$F$7, $E48&lt;='Launch flag &amp; Life-Cycle Factor'!$E$7),'Launch flag &amp; Life-Cycle Factor'!$I$7, IF(AND($E48&gt;='Launch flag &amp; Life-Cycle Factor'!$F$6, $E48&lt;='Launch flag &amp; Life-Cycle Factor'!$E$6),'Launch flag &amp; Life-Cycle Factor'!$I$6, "-")))))))))))))))))))</f>
        <v>-</v>
      </c>
      <c r="R48" s="664" t="str">
        <f t="shared" si="0"/>
        <v>-</v>
      </c>
      <c r="S48" s="665" t="str">
        <f t="shared" si="1"/>
        <v>-</v>
      </c>
      <c r="T48" s="631" t="str">
        <f t="shared" si="2"/>
        <v>-</v>
      </c>
      <c r="U48" s="632" t="str">
        <f t="shared" si="3"/>
        <v>-</v>
      </c>
      <c r="V48" s="839" t="str">
        <f t="shared" si="4"/>
        <v>-</v>
      </c>
      <c r="W48" s="840" t="str">
        <f t="shared" si="5"/>
        <v>-</v>
      </c>
      <c r="X48" s="863" t="s">
        <v>1177</v>
      </c>
    </row>
    <row r="49" spans="2:24" x14ac:dyDescent="0.35">
      <c r="B49" s="186" t="s">
        <v>43</v>
      </c>
      <c r="C49" s="192" t="s">
        <v>244</v>
      </c>
      <c r="D49" s="206" t="str">
        <f>IF(AND($E49&gt;='Launch flag &amp; Life-Cycle Factor'!$F$24, $E49&lt;='Launch flag &amp; Life-Cycle Factor'!$E$24),'Launch flag &amp; Life-Cycle Factor'!$B$24, IF(AND($E49&gt;='Launch flag &amp; Life-Cycle Factor'!$F$23, $E49&lt;='Launch flag &amp; Life-Cycle Factor'!$E$23),'Launch flag &amp; Life-Cycle Factor'!$B$23, IF(AND($E49&gt;='Launch flag &amp; Life-Cycle Factor'!$F$22, $E49&lt;='Launch flag &amp; Life-Cycle Factor'!$E$22),'Launch flag &amp; Life-Cycle Factor'!$B$22, IF(AND($E49&gt;='Launch flag &amp; Life-Cycle Factor'!$F$21, $E49&lt;='Launch flag &amp; Life-Cycle Factor'!$E$21),'Launch flag &amp; Life-Cycle Factor'!$B$21, IF(AND($E49&gt;='Launch flag &amp; Life-Cycle Factor'!$F$20, $E49&lt;='Launch flag &amp; Life-Cycle Factor'!$E$20),'Launch flag &amp; Life-Cycle Factor'!$B$20, IF(AND($E49&gt;='Launch flag &amp; Life-Cycle Factor'!$F$19, $E49&lt;='Launch flag &amp; Life-Cycle Factor'!$E$19),'Launch flag &amp; Life-Cycle Factor'!$B$19, IF(AND($E49&gt;='Launch flag &amp; Life-Cycle Factor'!$F$18, $E49&lt;='Launch flag &amp; Life-Cycle Factor'!$E$18),'Launch flag &amp; Life-Cycle Factor'!$B$18, IF(AND($E49&gt;='Launch flag &amp; Life-Cycle Factor'!$F$17, $E49&lt;='Launch flag &amp; Life-Cycle Factor'!$E$17),'Launch flag &amp; Life-Cycle Factor'!$B$17, IF(AND($E49&gt;='Launch flag &amp; Life-Cycle Factor'!$F$16, $E49&lt;='Launch flag &amp; Life-Cycle Factor'!$E$16),'Launch flag &amp; Life-Cycle Factor'!$B$16,IF(AND($E49&gt;='Launch flag &amp; Life-Cycle Factor'!$F$15, $E49&lt;='Launch flag &amp; Life-Cycle Factor'!$E$15),'Launch flag &amp; Life-Cycle Factor'!$B$15, IF(AND($E49&gt;='Launch flag &amp; Life-Cycle Factor'!$F$14, $E49&lt;='Launch flag &amp; Life-Cycle Factor'!$E$14),'Launch flag &amp; Life-Cycle Factor'!$B$14,IF(AND($E49&gt;='Launch flag &amp; Life-Cycle Factor'!$F$13, $E49&lt;='Launch flag &amp; Life-Cycle Factor'!$E$13),'Launch flag &amp; Life-Cycle Factor'!$B$13, IF(AND($E49&gt;='Launch flag &amp; Life-Cycle Factor'!$F$12, $E49&lt;='Launch flag &amp; Life-Cycle Factor'!$E$12),'Launch flag &amp; Life-Cycle Factor'!$B$12, IF(AND($E49&gt;='Launch flag &amp; Life-Cycle Factor'!$F$11, $E49&lt;='Launch flag &amp; Life-Cycle Factor'!$E$11),'Launch flag &amp; Life-Cycle Factor'!$B$11, IF(AND($E49&gt;='Launch flag &amp; Life-Cycle Factor'!$F$10, $E49&lt;='Launch flag &amp; Life-Cycle Factor'!$E$10),'Launch flag &amp; Life-Cycle Factor'!$B$10, IF(AND($E49&gt;='Launch flag &amp; Life-Cycle Factor'!$F$9, $E49&lt;='Launch flag &amp; Life-Cycle Factor'!$E$9),'Launch flag &amp; Life-Cycle Factor'!$B$9, IF(AND($E49&gt;='Launch flag &amp; Life-Cycle Factor'!$F$8, $E49&lt;='Launch flag &amp; Life-Cycle Factor'!$E$8),'Launch flag &amp; Life-Cycle Factor'!$B$8, IF(AND($E49&gt;='Launch flag &amp; Life-Cycle Factor'!$F$7, $E49&lt;='Launch flag &amp; Life-Cycle Factor'!$E$7),'Launch flag &amp; Life-Cycle Factor'!$B$7, IF(AND($E49&gt;='Launch flag &amp; Life-Cycle Factor'!$F$6, $E49&lt;='Launch flag &amp; Life-Cycle Factor'!$E$6),'Launch flag &amp; Life-Cycle Factor'!$B$6, "-")))))))))))))))))))</f>
        <v>Recent Launch</v>
      </c>
      <c r="E49" s="219">
        <f>INDEX('NPS with launch Dates '!$J$6:$J$59,MATCH('2.  Sales Data Key &amp; Key-Lyn'!$C49,'NPS with launch Dates '!$I$6:$I$59,0))</f>
        <v>45201</v>
      </c>
      <c r="F49" s="197">
        <f>INDEX('Raw Sales Forecasting Data'!$D$11:$H$126,MATCH('2.  Sales Data Key &amp; Key-Lyn'!$C49,'Raw Sales Forecasting Data'!$C$11:$C$126,0),MATCH('2.  Sales Data Key &amp; Key-Lyn'!F$6,'Raw Sales Forecasting Data'!$D$10:$H$10,0))</f>
        <v>5.4049959999999997</v>
      </c>
      <c r="G49" s="198">
        <f>INDEX('Raw Sales Forecasting Data'!$D$11:$H$126,MATCH('2.  Sales Data Key &amp; Key-Lyn'!$C49,'Raw Sales Forecasting Data'!$C$11:$C$126,0),MATCH('2.  Sales Data Key &amp; Key-Lyn'!G$6,'Raw Sales Forecasting Data'!$D$10:$H$10,0))</f>
        <v>202.34140500000001</v>
      </c>
      <c r="H49" s="198">
        <f>INDEX('Raw Sales Forecasting Data'!$D$11:$H$126,MATCH('2.  Sales Data Key &amp; Key-Lyn'!$C49,'Raw Sales Forecasting Data'!$C$11:$C$126,0),MATCH('2.  Sales Data Key &amp; Key-Lyn'!H$6,'Raw Sales Forecasting Data'!$D$10:$H$10,0))</f>
        <v>288.59492699999998</v>
      </c>
      <c r="I49" s="198">
        <f>INDEX('Raw Sales Forecasting Data'!$D$11:$H$126,MATCH('2.  Sales Data Key &amp; Key-Lyn'!$C49,'Raw Sales Forecasting Data'!$C$11:$C$126,0),MATCH('2.  Sales Data Key &amp; Key-Lyn'!I$6,'Raw Sales Forecasting Data'!$D$10:$H$10,0))</f>
        <v>276.76754</v>
      </c>
      <c r="J49" s="199">
        <f>INDEX('Raw Sales Forecasting Data'!$D$11:$H$126,MATCH('2.  Sales Data Key &amp; Key-Lyn'!$C49,'Raw Sales Forecasting Data'!$C$11:$C$126,0),MATCH('2.  Sales Data Key &amp; Key-Lyn'!J$6,'Raw Sales Forecasting Data'!$D$10:$H$10,0))</f>
        <v>295.55663600000003</v>
      </c>
      <c r="K49" s="203">
        <f>INDEX('Raw Sales Forecasting Data'!$J$11:$N$126,MATCH('2.  Sales Data Key &amp; Key-Lyn'!$C49,'Raw Sales Forecasting Data'!$C$11:$C$126,0),MATCH('2.  Sales Data Key &amp; Key-Lyn'!K$6,'Raw Sales Forecasting Data'!$J$10:$N$10,0))</f>
        <v>5.4049959999999997</v>
      </c>
      <c r="L49" s="198">
        <f>INDEX('Raw Sales Forecasting Data'!$J$11:$N$126,MATCH('2.  Sales Data Key &amp; Key-Lyn'!$C49,'Raw Sales Forecasting Data'!$C$11:$C$126,0),MATCH('2.  Sales Data Key &amp; Key-Lyn'!L$6,'Raw Sales Forecasting Data'!$J$10:$N$10,0))</f>
        <v>202.34140500000001</v>
      </c>
      <c r="M49" s="198">
        <f>INDEX('Raw Sales Forecasting Data'!$J$11:$N$126,MATCH('2.  Sales Data Key &amp; Key-Lyn'!$C49,'Raw Sales Forecasting Data'!$C$11:$C$126,0),MATCH('2.  Sales Data Key &amp; Key-Lyn'!M$6,'Raw Sales Forecasting Data'!$J$10:$N$10,0))</f>
        <v>288.59492699999998</v>
      </c>
      <c r="N49" s="198">
        <f>INDEX('Raw Sales Forecasting Data'!$J$11:$N$126,MATCH('2.  Sales Data Key &amp; Key-Lyn'!$C49,'Raw Sales Forecasting Data'!$C$11:$C$126,0),MATCH('2.  Sales Data Key &amp; Key-Lyn'!N$6,'Raw Sales Forecasting Data'!$J$10:$N$10,0))</f>
        <v>288.59492699999998</v>
      </c>
      <c r="O49" s="238">
        <f>INDEX('Raw Sales Forecasting Data'!$J$11:$N$126,MATCH('2.  Sales Data Key &amp; Key-Lyn'!$C49,'Raw Sales Forecasting Data'!$C$11:$C$126,0),MATCH('2.  Sales Data Key &amp; Key-Lyn'!O$6,'Raw Sales Forecasting Data'!$J$10:$N$10,0))</f>
        <v>295.55663600000003</v>
      </c>
      <c r="P49" s="240">
        <f>IF(AND($E49&gt;='Launch flag &amp; Life-Cycle Factor'!$F$24, $E49&lt;='Launch flag &amp; Life-Cycle Factor'!$E$24),'Launch flag &amp; Life-Cycle Factor'!$H$24, IF(AND($E49&gt;='Launch flag &amp; Life-Cycle Factor'!$F$23, $E49&lt;='Launch flag &amp; Life-Cycle Factor'!$E$23),'Launch flag &amp; Life-Cycle Factor'!$H$23, IF(AND($E49&gt;='Launch flag &amp; Life-Cycle Factor'!$F$22, $E49&lt;='Launch flag &amp; Life-Cycle Factor'!$E$22),'Launch flag &amp; Life-Cycle Factor'!$H$22, IF(AND($E49&gt;='Launch flag &amp; Life-Cycle Factor'!$F$21, $E49&lt;='Launch flag &amp; Life-Cycle Factor'!$E$21),'Launch flag &amp; Life-Cycle Factor'!$H$21, IF(AND($E49&gt;='Launch flag &amp; Life-Cycle Factor'!$F$20, $E49&lt;='Launch flag &amp; Life-Cycle Factor'!$E$20),'Launch flag &amp; Life-Cycle Factor'!$H$20, IF(AND($E49&gt;='Launch flag &amp; Life-Cycle Factor'!$F$19, $E49&lt;='Launch flag &amp; Life-Cycle Factor'!$E$19),'Launch flag &amp; Life-Cycle Factor'!$H$19, IF(AND($E49&gt;='Launch flag &amp; Life-Cycle Factor'!$F$18, $E49&lt;='Launch flag &amp; Life-Cycle Factor'!$E$18),'Launch flag &amp; Life-Cycle Factor'!$H$18, IF(AND($E49&gt;='Launch flag &amp; Life-Cycle Factor'!$F$17, $E49&lt;='Launch flag &amp; Life-Cycle Factor'!$E$17),'Launch flag &amp; Life-Cycle Factor'!$H$17, IF(AND($E49&gt;='Launch flag &amp; Life-Cycle Factor'!$F$16, $E49&lt;='Launch flag &amp; Life-Cycle Factor'!$E$16),'Launch flag &amp; Life-Cycle Factor'!$H$16,IF(AND($E49&gt;='Launch flag &amp; Life-Cycle Factor'!$F$15, $E49&lt;='Launch flag &amp; Life-Cycle Factor'!$E$15),'Launch flag &amp; Life-Cycle Factor'!$H$15, IF(AND($E49&gt;='Launch flag &amp; Life-Cycle Factor'!$F$14, $E49&lt;='Launch flag &amp; Life-Cycle Factor'!$E$14),'Launch flag &amp; Life-Cycle Factor'!$H$14,IF(AND($E49&gt;='Launch flag &amp; Life-Cycle Factor'!$F$13, $E49&lt;='Launch flag &amp; Life-Cycle Factor'!$E$13),'Launch flag &amp; Life-Cycle Factor'!$H$13, IF(AND($E49&gt;='Launch flag &amp; Life-Cycle Factor'!$F$12, $E49&lt;='Launch flag &amp; Life-Cycle Factor'!$E$12),'Launch flag &amp; Life-Cycle Factor'!$H$12, IF(AND($E49&gt;='Launch flag &amp; Life-Cycle Factor'!$F$11, $E49&lt;='Launch flag &amp; Life-Cycle Factor'!$E$11),'Launch flag &amp; Life-Cycle Factor'!$H$11, IF(AND($E49&gt;='Launch flag &amp; Life-Cycle Factor'!$F$10, $E49&lt;='Launch flag &amp; Life-Cycle Factor'!$E$10),'Launch flag &amp; Life-Cycle Factor'!$H$10, IF(AND($E49&gt;='Launch flag &amp; Life-Cycle Factor'!$F$9, $E49&lt;='Launch flag &amp; Life-Cycle Factor'!$E$9),'Launch flag &amp; Life-Cycle Factor'!$H$9, IF(AND($E49&gt;='Launch flag &amp; Life-Cycle Factor'!$F$8, $E49&lt;='Launch flag &amp; Life-Cycle Factor'!$E$8),'Launch flag &amp; Life-Cycle Factor'!$H$8, IF(AND($E49&gt;='Launch flag &amp; Life-Cycle Factor'!$F$7, $E49&lt;='Launch flag &amp; Life-Cycle Factor'!$E$7),'Launch flag &amp; Life-Cycle Factor'!$H$7, IF(AND($E49&gt;='Launch flag &amp; Life-Cycle Factor'!$F$6, $E49&lt;='Launch flag &amp; Life-Cycle Factor'!$E$6),'Launch flag &amp; Life-Cycle Factor'!$H$6, "-")))))))))))))))))))</f>
        <v>0.65</v>
      </c>
      <c r="Q49" s="655">
        <f>IF(AND($E49&gt;='Launch flag &amp; Life-Cycle Factor'!$F$24, $E49&lt;='Launch flag &amp; Life-Cycle Factor'!$E$24),'Launch flag &amp; Life-Cycle Factor'!$I$24, IF(AND($E49&gt;='Launch flag &amp; Life-Cycle Factor'!$F$23, $E49&lt;='Launch flag &amp; Life-Cycle Factor'!$E$23),'Launch flag &amp; Life-Cycle Factor'!$I$23, IF(AND($E49&gt;='Launch flag &amp; Life-Cycle Factor'!$F$22, $E49&lt;='Launch flag &amp; Life-Cycle Factor'!$E$22),'Launch flag &amp; Life-Cycle Factor'!$I$22, IF(AND($E49&gt;='Launch flag &amp; Life-Cycle Factor'!$F$21, $E49&lt;='Launch flag &amp; Life-Cycle Factor'!$E$21),'Launch flag &amp; Life-Cycle Factor'!$I$21, IF(AND($E49&gt;='Launch flag &amp; Life-Cycle Factor'!$F$20, $E49&lt;='Launch flag &amp; Life-Cycle Factor'!$E$20),'Launch flag &amp; Life-Cycle Factor'!$I$20, IF(AND($E49&gt;='Launch flag &amp; Life-Cycle Factor'!$F$19, $E49&lt;='Launch flag &amp; Life-Cycle Factor'!$E$19),'Launch flag &amp; Life-Cycle Factor'!$I$19, IF(AND($E49&gt;='Launch flag &amp; Life-Cycle Factor'!$F$18, $E49&lt;='Launch flag &amp; Life-Cycle Factor'!$E$18),'Launch flag &amp; Life-Cycle Factor'!$I$18, IF(AND($E49&gt;='Launch flag &amp; Life-Cycle Factor'!$F$17, $E49&lt;='Launch flag &amp; Life-Cycle Factor'!$E$17),'Launch flag &amp; Life-Cycle Factor'!$I$17, IF(AND($E49&gt;='Launch flag &amp; Life-Cycle Factor'!$F$16, $E49&lt;='Launch flag &amp; Life-Cycle Factor'!$E$16),'Launch flag &amp; Life-Cycle Factor'!$I$16,IF(AND($E49&gt;='Launch flag &amp; Life-Cycle Factor'!$F$15, $E49&lt;='Launch flag &amp; Life-Cycle Factor'!$E$15),'Launch flag &amp; Life-Cycle Factor'!$I$15, IF(AND($E49&gt;='Launch flag &amp; Life-Cycle Factor'!$F$14, $E49&lt;='Launch flag &amp; Life-Cycle Factor'!$E$14),'Launch flag &amp; Life-Cycle Factor'!$I$14,IF(AND($E49&gt;='Launch flag &amp; Life-Cycle Factor'!$F$13, $E49&lt;='Launch flag &amp; Life-Cycle Factor'!$E$13),'Launch flag &amp; Life-Cycle Factor'!$I$13, IF(AND($E49&gt;='Launch flag &amp; Life-Cycle Factor'!$F$12, $E49&lt;='Launch flag &amp; Life-Cycle Factor'!$E$12),'Launch flag &amp; Life-Cycle Factor'!$I$12, IF(AND($E49&gt;='Launch flag &amp; Life-Cycle Factor'!$F$11, $E49&lt;='Launch flag &amp; Life-Cycle Factor'!$E$11),'Launch flag &amp; Life-Cycle Factor'!$I$11, IF(AND($E49&gt;='Launch flag &amp; Life-Cycle Factor'!$F$10, $E49&lt;='Launch flag &amp; Life-Cycle Factor'!$E$10),'Launch flag &amp; Life-Cycle Factor'!$I$10, IF(AND($E49&gt;='Launch flag &amp; Life-Cycle Factor'!$F$9, $E49&lt;='Launch flag &amp; Life-Cycle Factor'!$E$9),'Launch flag &amp; Life-Cycle Factor'!$I$9, IF(AND($E49&gt;='Launch flag &amp; Life-Cycle Factor'!$F$8, $E49&lt;='Launch flag &amp; Life-Cycle Factor'!$E$8),'Launch flag &amp; Life-Cycle Factor'!$I$8, IF(AND($E49&gt;='Launch flag &amp; Life-Cycle Factor'!$F$7, $E49&lt;='Launch flag &amp; Life-Cycle Factor'!$E$7),'Launch flag &amp; Life-Cycle Factor'!$I$7, IF(AND($E49&gt;='Launch flag &amp; Life-Cycle Factor'!$F$6, $E49&lt;='Launch flag &amp; Life-Cycle Factor'!$E$6),'Launch flag &amp; Life-Cycle Factor'!$I$6, "-")))))))))))))))))))</f>
        <v>0.35</v>
      </c>
      <c r="R49" s="662">
        <f t="shared" si="0"/>
        <v>131.52191325000001</v>
      </c>
      <c r="S49" s="663">
        <f t="shared" si="1"/>
        <v>101.00822444999999</v>
      </c>
      <c r="T49" s="242">
        <f t="shared" si="2"/>
        <v>131.52191325000001</v>
      </c>
      <c r="U49" s="243">
        <f t="shared" si="3"/>
        <v>101.00822444999999</v>
      </c>
      <c r="V49" s="837">
        <f t="shared" si="4"/>
        <v>232.53013770000001</v>
      </c>
      <c r="W49" s="838">
        <f t="shared" si="5"/>
        <v>232.53013770000001</v>
      </c>
      <c r="X49" s="672"/>
    </row>
    <row r="50" spans="2:24" x14ac:dyDescent="0.35">
      <c r="B50" s="186" t="s">
        <v>43</v>
      </c>
      <c r="C50" s="192" t="s">
        <v>250</v>
      </c>
      <c r="D50" s="206" t="str">
        <f>IF(AND($E50&gt;='Launch flag &amp; Life-Cycle Factor'!$F$24, $E50&lt;='Launch flag &amp; Life-Cycle Factor'!$E$24),'Launch flag &amp; Life-Cycle Factor'!$B$24, IF(AND($E50&gt;='Launch flag &amp; Life-Cycle Factor'!$F$23, $E50&lt;='Launch flag &amp; Life-Cycle Factor'!$E$23),'Launch flag &amp; Life-Cycle Factor'!$B$23, IF(AND($E50&gt;='Launch flag &amp; Life-Cycle Factor'!$F$22, $E50&lt;='Launch flag &amp; Life-Cycle Factor'!$E$22),'Launch flag &amp; Life-Cycle Factor'!$B$22, IF(AND($E50&gt;='Launch flag &amp; Life-Cycle Factor'!$F$21, $E50&lt;='Launch flag &amp; Life-Cycle Factor'!$E$21),'Launch flag &amp; Life-Cycle Factor'!$B$21, IF(AND($E50&gt;='Launch flag &amp; Life-Cycle Factor'!$F$20, $E50&lt;='Launch flag &amp; Life-Cycle Factor'!$E$20),'Launch flag &amp; Life-Cycle Factor'!$B$20, IF(AND($E50&gt;='Launch flag &amp; Life-Cycle Factor'!$F$19, $E50&lt;='Launch flag &amp; Life-Cycle Factor'!$E$19),'Launch flag &amp; Life-Cycle Factor'!$B$19, IF(AND($E50&gt;='Launch flag &amp; Life-Cycle Factor'!$F$18, $E50&lt;='Launch flag &amp; Life-Cycle Factor'!$E$18),'Launch flag &amp; Life-Cycle Factor'!$B$18, IF(AND($E50&gt;='Launch flag &amp; Life-Cycle Factor'!$F$17, $E50&lt;='Launch flag &amp; Life-Cycle Factor'!$E$17),'Launch flag &amp; Life-Cycle Factor'!$B$17, IF(AND($E50&gt;='Launch flag &amp; Life-Cycle Factor'!$F$16, $E50&lt;='Launch flag &amp; Life-Cycle Factor'!$E$16),'Launch flag &amp; Life-Cycle Factor'!$B$16,IF(AND($E50&gt;='Launch flag &amp; Life-Cycle Factor'!$F$15, $E50&lt;='Launch flag &amp; Life-Cycle Factor'!$E$15),'Launch flag &amp; Life-Cycle Factor'!$B$15, IF(AND($E50&gt;='Launch flag &amp; Life-Cycle Factor'!$F$14, $E50&lt;='Launch flag &amp; Life-Cycle Factor'!$E$14),'Launch flag &amp; Life-Cycle Factor'!$B$14,IF(AND($E50&gt;='Launch flag &amp; Life-Cycle Factor'!$F$13, $E50&lt;='Launch flag &amp; Life-Cycle Factor'!$E$13),'Launch flag &amp; Life-Cycle Factor'!$B$13, IF(AND($E50&gt;='Launch flag &amp; Life-Cycle Factor'!$F$12, $E50&lt;='Launch flag &amp; Life-Cycle Factor'!$E$12),'Launch flag &amp; Life-Cycle Factor'!$B$12, IF(AND($E50&gt;='Launch flag &amp; Life-Cycle Factor'!$F$11, $E50&lt;='Launch flag &amp; Life-Cycle Factor'!$E$11),'Launch flag &amp; Life-Cycle Factor'!$B$11, IF(AND($E50&gt;='Launch flag &amp; Life-Cycle Factor'!$F$10, $E50&lt;='Launch flag &amp; Life-Cycle Factor'!$E$10),'Launch flag &amp; Life-Cycle Factor'!$B$10, IF(AND($E50&gt;='Launch flag &amp; Life-Cycle Factor'!$F$9, $E50&lt;='Launch flag &amp; Life-Cycle Factor'!$E$9),'Launch flag &amp; Life-Cycle Factor'!$B$9, IF(AND($E50&gt;='Launch flag &amp; Life-Cycle Factor'!$F$8, $E50&lt;='Launch flag &amp; Life-Cycle Factor'!$E$8),'Launch flag &amp; Life-Cycle Factor'!$B$8, IF(AND($E50&gt;='Launch flag &amp; Life-Cycle Factor'!$F$7, $E50&lt;='Launch flag &amp; Life-Cycle Factor'!$E$7),'Launch flag &amp; Life-Cycle Factor'!$B$7, IF(AND($E50&gt;='Launch flag &amp; Life-Cycle Factor'!$F$6, $E50&lt;='Launch flag &amp; Life-Cycle Factor'!$E$6),'Launch flag &amp; Life-Cycle Factor'!$B$6, "-")))))))))))))))))))</f>
        <v>Future Launch</v>
      </c>
      <c r="E50" s="219">
        <f>INDEX('NPS with launch Dates '!$J$6:$J$59,MATCH('2.  Sales Data Key &amp; Key-Lyn'!$C50,'NPS with launch Dates '!$I$6:$I$59,0))</f>
        <v>45993</v>
      </c>
      <c r="F50" s="197">
        <f>INDEX('Raw Sales Forecasting Data'!$D$11:$H$126,MATCH('2.  Sales Data Key &amp; Key-Lyn'!$C50,'Raw Sales Forecasting Data'!$C$11:$C$126,0),MATCH('2.  Sales Data Key &amp; Key-Lyn'!F$6,'Raw Sales Forecasting Data'!$D$10:$H$10,0))</f>
        <v>0</v>
      </c>
      <c r="G50" s="198">
        <f>INDEX('Raw Sales Forecasting Data'!$D$11:$H$126,MATCH('2.  Sales Data Key &amp; Key-Lyn'!$C50,'Raw Sales Forecasting Data'!$C$11:$C$126,0),MATCH('2.  Sales Data Key &amp; Key-Lyn'!G$6,'Raw Sales Forecasting Data'!$D$10:$H$10,0))</f>
        <v>0</v>
      </c>
      <c r="H50" s="198">
        <f>INDEX('Raw Sales Forecasting Data'!$D$11:$H$126,MATCH('2.  Sales Data Key &amp; Key-Lyn'!$C50,'Raw Sales Forecasting Data'!$C$11:$C$126,0),MATCH('2.  Sales Data Key &amp; Key-Lyn'!H$6,'Raw Sales Forecasting Data'!$D$10:$H$10,0))</f>
        <v>0.129745</v>
      </c>
      <c r="I50" s="198">
        <f>INDEX('Raw Sales Forecasting Data'!$D$11:$H$126,MATCH('2.  Sales Data Key &amp; Key-Lyn'!$C50,'Raw Sales Forecasting Data'!$C$11:$C$126,0),MATCH('2.  Sales Data Key &amp; Key-Lyn'!I$6,'Raw Sales Forecasting Data'!$D$10:$H$10,0))</f>
        <v>103.75572099999999</v>
      </c>
      <c r="J50" s="199">
        <f>INDEX('Raw Sales Forecasting Data'!$D$11:$H$126,MATCH('2.  Sales Data Key &amp; Key-Lyn'!$C50,'Raw Sales Forecasting Data'!$C$11:$C$126,0),MATCH('2.  Sales Data Key &amp; Key-Lyn'!J$6,'Raw Sales Forecasting Data'!$D$10:$H$10,0))</f>
        <v>379.81979000000001</v>
      </c>
      <c r="K50" s="203">
        <f>INDEX('Raw Sales Forecasting Data'!$J$11:$N$126,MATCH('2.  Sales Data Key &amp; Key-Lyn'!$C50,'Raw Sales Forecasting Data'!$C$11:$C$126,0),MATCH('2.  Sales Data Key &amp; Key-Lyn'!K$6,'Raw Sales Forecasting Data'!$J$10:$N$10,0))</f>
        <v>0</v>
      </c>
      <c r="L50" s="198">
        <f>INDEX('Raw Sales Forecasting Data'!$J$11:$N$126,MATCH('2.  Sales Data Key &amp; Key-Lyn'!$C50,'Raw Sales Forecasting Data'!$C$11:$C$126,0),MATCH('2.  Sales Data Key &amp; Key-Lyn'!L$6,'Raw Sales Forecasting Data'!$J$10:$N$10,0))</f>
        <v>0</v>
      </c>
      <c r="M50" s="198">
        <f>INDEX('Raw Sales Forecasting Data'!$J$11:$N$126,MATCH('2.  Sales Data Key &amp; Key-Lyn'!$C50,'Raw Sales Forecasting Data'!$C$11:$C$126,0),MATCH('2.  Sales Data Key &amp; Key-Lyn'!M$6,'Raw Sales Forecasting Data'!$J$10:$N$10,0))</f>
        <v>0.129745</v>
      </c>
      <c r="N50" s="198">
        <f>INDEX('Raw Sales Forecasting Data'!$J$11:$N$126,MATCH('2.  Sales Data Key &amp; Key-Lyn'!$C50,'Raw Sales Forecasting Data'!$C$11:$C$126,0),MATCH('2.  Sales Data Key &amp; Key-Lyn'!N$6,'Raw Sales Forecasting Data'!$J$10:$N$10,0))</f>
        <v>0.129745</v>
      </c>
      <c r="O50" s="238">
        <f>INDEX('Raw Sales Forecasting Data'!$J$11:$N$126,MATCH('2.  Sales Data Key &amp; Key-Lyn'!$C50,'Raw Sales Forecasting Data'!$C$11:$C$126,0),MATCH('2.  Sales Data Key &amp; Key-Lyn'!O$6,'Raw Sales Forecasting Data'!$J$10:$N$10,0))</f>
        <v>379.81979000000001</v>
      </c>
      <c r="P50" s="240">
        <f>IF(AND($E50&gt;='Launch flag &amp; Life-Cycle Factor'!$F$24, $E50&lt;='Launch flag &amp; Life-Cycle Factor'!$E$24),'Launch flag &amp; Life-Cycle Factor'!$H$24, IF(AND($E50&gt;='Launch flag &amp; Life-Cycle Factor'!$F$23, $E50&lt;='Launch flag &amp; Life-Cycle Factor'!$E$23),'Launch flag &amp; Life-Cycle Factor'!$H$23, IF(AND($E50&gt;='Launch flag &amp; Life-Cycle Factor'!$F$22, $E50&lt;='Launch flag &amp; Life-Cycle Factor'!$E$22),'Launch flag &amp; Life-Cycle Factor'!$H$22, IF(AND($E50&gt;='Launch flag &amp; Life-Cycle Factor'!$F$21, $E50&lt;='Launch flag &amp; Life-Cycle Factor'!$E$21),'Launch flag &amp; Life-Cycle Factor'!$H$21, IF(AND($E50&gt;='Launch flag &amp; Life-Cycle Factor'!$F$20, $E50&lt;='Launch flag &amp; Life-Cycle Factor'!$E$20),'Launch flag &amp; Life-Cycle Factor'!$H$20, IF(AND($E50&gt;='Launch flag &amp; Life-Cycle Factor'!$F$19, $E50&lt;='Launch flag &amp; Life-Cycle Factor'!$E$19),'Launch flag &amp; Life-Cycle Factor'!$H$19, IF(AND($E50&gt;='Launch flag &amp; Life-Cycle Factor'!$F$18, $E50&lt;='Launch flag &amp; Life-Cycle Factor'!$E$18),'Launch flag &amp; Life-Cycle Factor'!$H$18, IF(AND($E50&gt;='Launch flag &amp; Life-Cycle Factor'!$F$17, $E50&lt;='Launch flag &amp; Life-Cycle Factor'!$E$17),'Launch flag &amp; Life-Cycle Factor'!$H$17, IF(AND($E50&gt;='Launch flag &amp; Life-Cycle Factor'!$F$16, $E50&lt;='Launch flag &amp; Life-Cycle Factor'!$E$16),'Launch flag &amp; Life-Cycle Factor'!$H$16,IF(AND($E50&gt;='Launch flag &amp; Life-Cycle Factor'!$F$15, $E50&lt;='Launch flag &amp; Life-Cycle Factor'!$E$15),'Launch flag &amp; Life-Cycle Factor'!$H$15, IF(AND($E50&gt;='Launch flag &amp; Life-Cycle Factor'!$F$14, $E50&lt;='Launch flag &amp; Life-Cycle Factor'!$E$14),'Launch flag &amp; Life-Cycle Factor'!$H$14,IF(AND($E50&gt;='Launch flag &amp; Life-Cycle Factor'!$F$13, $E50&lt;='Launch flag &amp; Life-Cycle Factor'!$E$13),'Launch flag &amp; Life-Cycle Factor'!$H$13, IF(AND($E50&gt;='Launch flag &amp; Life-Cycle Factor'!$F$12, $E50&lt;='Launch flag &amp; Life-Cycle Factor'!$E$12),'Launch flag &amp; Life-Cycle Factor'!$H$12, IF(AND($E50&gt;='Launch flag &amp; Life-Cycle Factor'!$F$11, $E50&lt;='Launch flag &amp; Life-Cycle Factor'!$E$11),'Launch flag &amp; Life-Cycle Factor'!$H$11, IF(AND($E50&gt;='Launch flag &amp; Life-Cycle Factor'!$F$10, $E50&lt;='Launch flag &amp; Life-Cycle Factor'!$E$10),'Launch flag &amp; Life-Cycle Factor'!$H$10, IF(AND($E50&gt;='Launch flag &amp; Life-Cycle Factor'!$F$9, $E50&lt;='Launch flag &amp; Life-Cycle Factor'!$E$9),'Launch flag &amp; Life-Cycle Factor'!$H$9, IF(AND($E50&gt;='Launch flag &amp; Life-Cycle Factor'!$F$8, $E50&lt;='Launch flag &amp; Life-Cycle Factor'!$E$8),'Launch flag &amp; Life-Cycle Factor'!$H$8, IF(AND($E50&gt;='Launch flag &amp; Life-Cycle Factor'!$F$7, $E50&lt;='Launch flag &amp; Life-Cycle Factor'!$E$7),'Launch flag &amp; Life-Cycle Factor'!$H$7, IF(AND($E50&gt;='Launch flag &amp; Life-Cycle Factor'!$F$6, $E50&lt;='Launch flag &amp; Life-Cycle Factor'!$E$6),'Launch flag &amp; Life-Cycle Factor'!$H$6, "-")))))))))))))))))))</f>
        <v>0</v>
      </c>
      <c r="Q50" s="655">
        <f>IF(AND($E50&gt;='Launch flag &amp; Life-Cycle Factor'!$F$24, $E50&lt;='Launch flag &amp; Life-Cycle Factor'!$E$24),'Launch flag &amp; Life-Cycle Factor'!$I$24, IF(AND($E50&gt;='Launch flag &amp; Life-Cycle Factor'!$F$23, $E50&lt;='Launch flag &amp; Life-Cycle Factor'!$E$23),'Launch flag &amp; Life-Cycle Factor'!$I$23, IF(AND($E50&gt;='Launch flag &amp; Life-Cycle Factor'!$F$22, $E50&lt;='Launch flag &amp; Life-Cycle Factor'!$E$22),'Launch flag &amp; Life-Cycle Factor'!$I$22, IF(AND($E50&gt;='Launch flag &amp; Life-Cycle Factor'!$F$21, $E50&lt;='Launch flag &amp; Life-Cycle Factor'!$E$21),'Launch flag &amp; Life-Cycle Factor'!$I$21, IF(AND($E50&gt;='Launch flag &amp; Life-Cycle Factor'!$F$20, $E50&lt;='Launch flag &amp; Life-Cycle Factor'!$E$20),'Launch flag &amp; Life-Cycle Factor'!$I$20, IF(AND($E50&gt;='Launch flag &amp; Life-Cycle Factor'!$F$19, $E50&lt;='Launch flag &amp; Life-Cycle Factor'!$E$19),'Launch flag &amp; Life-Cycle Factor'!$I$19, IF(AND($E50&gt;='Launch flag &amp; Life-Cycle Factor'!$F$18, $E50&lt;='Launch flag &amp; Life-Cycle Factor'!$E$18),'Launch flag &amp; Life-Cycle Factor'!$I$18, IF(AND($E50&gt;='Launch flag &amp; Life-Cycle Factor'!$F$17, $E50&lt;='Launch flag &amp; Life-Cycle Factor'!$E$17),'Launch flag &amp; Life-Cycle Factor'!$I$17, IF(AND($E50&gt;='Launch flag &amp; Life-Cycle Factor'!$F$16, $E50&lt;='Launch flag &amp; Life-Cycle Factor'!$E$16),'Launch flag &amp; Life-Cycle Factor'!$I$16,IF(AND($E50&gt;='Launch flag &amp; Life-Cycle Factor'!$F$15, $E50&lt;='Launch flag &amp; Life-Cycle Factor'!$E$15),'Launch flag &amp; Life-Cycle Factor'!$I$15, IF(AND($E50&gt;='Launch flag &amp; Life-Cycle Factor'!$F$14, $E50&lt;='Launch flag &amp; Life-Cycle Factor'!$E$14),'Launch flag &amp; Life-Cycle Factor'!$I$14,IF(AND($E50&gt;='Launch flag &amp; Life-Cycle Factor'!$F$13, $E50&lt;='Launch flag &amp; Life-Cycle Factor'!$E$13),'Launch flag &amp; Life-Cycle Factor'!$I$13, IF(AND($E50&gt;='Launch flag &amp; Life-Cycle Factor'!$F$12, $E50&lt;='Launch flag &amp; Life-Cycle Factor'!$E$12),'Launch flag &amp; Life-Cycle Factor'!$I$12, IF(AND($E50&gt;='Launch flag &amp; Life-Cycle Factor'!$F$11, $E50&lt;='Launch flag &amp; Life-Cycle Factor'!$E$11),'Launch flag &amp; Life-Cycle Factor'!$I$11, IF(AND($E50&gt;='Launch flag &amp; Life-Cycle Factor'!$F$10, $E50&lt;='Launch flag &amp; Life-Cycle Factor'!$E$10),'Launch flag &amp; Life-Cycle Factor'!$I$10, IF(AND($E50&gt;='Launch flag &amp; Life-Cycle Factor'!$F$9, $E50&lt;='Launch flag &amp; Life-Cycle Factor'!$E$9),'Launch flag &amp; Life-Cycle Factor'!$I$9, IF(AND($E50&gt;='Launch flag &amp; Life-Cycle Factor'!$F$8, $E50&lt;='Launch flag &amp; Life-Cycle Factor'!$E$8),'Launch flag &amp; Life-Cycle Factor'!$I$8, IF(AND($E50&gt;='Launch flag &amp; Life-Cycle Factor'!$F$7, $E50&lt;='Launch flag &amp; Life-Cycle Factor'!$E$7),'Launch flag &amp; Life-Cycle Factor'!$I$7, IF(AND($E50&gt;='Launch flag &amp; Life-Cycle Factor'!$F$6, $E50&lt;='Launch flag &amp; Life-Cycle Factor'!$E$6),'Launch flag &amp; Life-Cycle Factor'!$I$6, "-")))))))))))))))))))</f>
        <v>0.7</v>
      </c>
      <c r="R50" s="662">
        <f t="shared" si="0"/>
        <v>0</v>
      </c>
      <c r="S50" s="663">
        <f t="shared" si="1"/>
        <v>9.0821499999999999E-2</v>
      </c>
      <c r="T50" s="242">
        <f t="shared" si="2"/>
        <v>0</v>
      </c>
      <c r="U50" s="243">
        <f t="shared" si="3"/>
        <v>9.0821499999999999E-2</v>
      </c>
      <c r="V50" s="837">
        <f t="shared" si="4"/>
        <v>9.0821499999999999E-2</v>
      </c>
      <c r="W50" s="838">
        <f t="shared" si="5"/>
        <v>9.0821499999999999E-2</v>
      </c>
      <c r="X50" s="672"/>
    </row>
    <row r="51" spans="2:24" x14ac:dyDescent="0.35">
      <c r="B51" s="186" t="s">
        <v>43</v>
      </c>
      <c r="C51" s="192" t="s">
        <v>258</v>
      </c>
      <c r="D51" s="206" t="str">
        <f>IF(AND($E51&gt;='Launch flag &amp; Life-Cycle Factor'!$F$24, $E51&lt;='Launch flag &amp; Life-Cycle Factor'!$E$24),'Launch flag &amp; Life-Cycle Factor'!$B$24, IF(AND($E51&gt;='Launch flag &amp; Life-Cycle Factor'!$F$23, $E51&lt;='Launch flag &amp; Life-Cycle Factor'!$E$23),'Launch flag &amp; Life-Cycle Factor'!$B$23, IF(AND($E51&gt;='Launch flag &amp; Life-Cycle Factor'!$F$22, $E51&lt;='Launch flag &amp; Life-Cycle Factor'!$E$22),'Launch flag &amp; Life-Cycle Factor'!$B$22, IF(AND($E51&gt;='Launch flag &amp; Life-Cycle Factor'!$F$21, $E51&lt;='Launch flag &amp; Life-Cycle Factor'!$E$21),'Launch flag &amp; Life-Cycle Factor'!$B$21, IF(AND($E51&gt;='Launch flag &amp; Life-Cycle Factor'!$F$20, $E51&lt;='Launch flag &amp; Life-Cycle Factor'!$E$20),'Launch flag &amp; Life-Cycle Factor'!$B$20, IF(AND($E51&gt;='Launch flag &amp; Life-Cycle Factor'!$F$19, $E51&lt;='Launch flag &amp; Life-Cycle Factor'!$E$19),'Launch flag &amp; Life-Cycle Factor'!$B$19, IF(AND($E51&gt;='Launch flag &amp; Life-Cycle Factor'!$F$18, $E51&lt;='Launch flag &amp; Life-Cycle Factor'!$E$18),'Launch flag &amp; Life-Cycle Factor'!$B$18, IF(AND($E51&gt;='Launch flag &amp; Life-Cycle Factor'!$F$17, $E51&lt;='Launch flag &amp; Life-Cycle Factor'!$E$17),'Launch flag &amp; Life-Cycle Factor'!$B$17, IF(AND($E51&gt;='Launch flag &amp; Life-Cycle Factor'!$F$16, $E51&lt;='Launch flag &amp; Life-Cycle Factor'!$E$16),'Launch flag &amp; Life-Cycle Factor'!$B$16,IF(AND($E51&gt;='Launch flag &amp; Life-Cycle Factor'!$F$15, $E51&lt;='Launch flag &amp; Life-Cycle Factor'!$E$15),'Launch flag &amp; Life-Cycle Factor'!$B$15, IF(AND($E51&gt;='Launch flag &amp; Life-Cycle Factor'!$F$14, $E51&lt;='Launch flag &amp; Life-Cycle Factor'!$E$14),'Launch flag &amp; Life-Cycle Factor'!$B$14,IF(AND($E51&gt;='Launch flag &amp; Life-Cycle Factor'!$F$13, $E51&lt;='Launch flag &amp; Life-Cycle Factor'!$E$13),'Launch flag &amp; Life-Cycle Factor'!$B$13, IF(AND($E51&gt;='Launch flag &amp; Life-Cycle Factor'!$F$12, $E51&lt;='Launch flag &amp; Life-Cycle Factor'!$E$12),'Launch flag &amp; Life-Cycle Factor'!$B$12, IF(AND($E51&gt;='Launch flag &amp; Life-Cycle Factor'!$F$11, $E51&lt;='Launch flag &amp; Life-Cycle Factor'!$E$11),'Launch flag &amp; Life-Cycle Factor'!$B$11, IF(AND($E51&gt;='Launch flag &amp; Life-Cycle Factor'!$F$10, $E51&lt;='Launch flag &amp; Life-Cycle Factor'!$E$10),'Launch flag &amp; Life-Cycle Factor'!$B$10, IF(AND($E51&gt;='Launch flag &amp; Life-Cycle Factor'!$F$9, $E51&lt;='Launch flag &amp; Life-Cycle Factor'!$E$9),'Launch flag &amp; Life-Cycle Factor'!$B$9, IF(AND($E51&gt;='Launch flag &amp; Life-Cycle Factor'!$F$8, $E51&lt;='Launch flag &amp; Life-Cycle Factor'!$E$8),'Launch flag &amp; Life-Cycle Factor'!$B$8, IF(AND($E51&gt;='Launch flag &amp; Life-Cycle Factor'!$F$7, $E51&lt;='Launch flag &amp; Life-Cycle Factor'!$E$7),'Launch flag &amp; Life-Cycle Factor'!$B$7, IF(AND($E51&gt;='Launch flag &amp; Life-Cycle Factor'!$F$6, $E51&lt;='Launch flag &amp; Life-Cycle Factor'!$E$6),'Launch flag &amp; Life-Cycle Factor'!$B$6, "-")))))))))))))))))))</f>
        <v>Mature</v>
      </c>
      <c r="E51" s="219">
        <f>INDEX('NPS with launch Dates '!$J$6:$J$59,MATCH('2.  Sales Data Key &amp; Key-Lyn'!$C51,'NPS with launch Dates '!$I$6:$I$59,0))</f>
        <v>43101</v>
      </c>
      <c r="F51" s="197">
        <f>INDEX('Raw Sales Forecasting Data'!$D$11:$H$126,MATCH('2.  Sales Data Key &amp; Key-Lyn'!$C51,'Raw Sales Forecasting Data'!$C$11:$C$126,0),MATCH('2.  Sales Data Key &amp; Key-Lyn'!F$6,'Raw Sales Forecasting Data'!$D$10:$H$10,0))</f>
        <v>3029.2</v>
      </c>
      <c r="G51" s="198">
        <f>INDEX('Raw Sales Forecasting Data'!$D$11:$H$126,MATCH('2.  Sales Data Key &amp; Key-Lyn'!$C51,'Raw Sales Forecasting Data'!$C$11:$C$126,0),MATCH('2.  Sales Data Key &amp; Key-Lyn'!G$6,'Raw Sales Forecasting Data'!$D$10:$H$10,0))</f>
        <v>2935.8</v>
      </c>
      <c r="H51" s="198">
        <f>INDEX('Raw Sales Forecasting Data'!$D$11:$H$126,MATCH('2.  Sales Data Key &amp; Key-Lyn'!$C51,'Raw Sales Forecasting Data'!$C$11:$C$126,0),MATCH('2.  Sales Data Key &amp; Key-Lyn'!H$6,'Raw Sales Forecasting Data'!$D$10:$H$10,0))</f>
        <v>2457.6999999999998</v>
      </c>
      <c r="I51" s="198">
        <f>INDEX('Raw Sales Forecasting Data'!$D$11:$H$126,MATCH('2.  Sales Data Key &amp; Key-Lyn'!$C51,'Raw Sales Forecasting Data'!$C$11:$C$126,0),MATCH('2.  Sales Data Key &amp; Key-Lyn'!I$6,'Raw Sales Forecasting Data'!$D$10:$H$10,0))</f>
        <v>1969.4</v>
      </c>
      <c r="J51" s="199">
        <f>INDEX('Raw Sales Forecasting Data'!$D$11:$H$126,MATCH('2.  Sales Data Key &amp; Key-Lyn'!$C51,'Raw Sales Forecasting Data'!$C$11:$C$126,0),MATCH('2.  Sales Data Key &amp; Key-Lyn'!J$6,'Raw Sales Forecasting Data'!$D$10:$H$10,0))</f>
        <v>1608.3</v>
      </c>
      <c r="K51" s="203">
        <f>INDEX('Raw Sales Forecasting Data'!$J$11:$N$126,MATCH('2.  Sales Data Key &amp; Key-Lyn'!$C51,'Raw Sales Forecasting Data'!$C$11:$C$126,0),MATCH('2.  Sales Data Key &amp; Key-Lyn'!K$6,'Raw Sales Forecasting Data'!$J$10:$N$10,0))</f>
        <v>3029.2</v>
      </c>
      <c r="L51" s="198">
        <f>INDEX('Raw Sales Forecasting Data'!$J$11:$N$126,MATCH('2.  Sales Data Key &amp; Key-Lyn'!$C51,'Raw Sales Forecasting Data'!$C$11:$C$126,0),MATCH('2.  Sales Data Key &amp; Key-Lyn'!L$6,'Raw Sales Forecasting Data'!$J$10:$N$10,0))</f>
        <v>2935.8</v>
      </c>
      <c r="M51" s="198">
        <f>INDEX('Raw Sales Forecasting Data'!$J$11:$N$126,MATCH('2.  Sales Data Key &amp; Key-Lyn'!$C51,'Raw Sales Forecasting Data'!$C$11:$C$126,0),MATCH('2.  Sales Data Key &amp; Key-Lyn'!M$6,'Raw Sales Forecasting Data'!$J$10:$N$10,0))</f>
        <v>2457.6999999999998</v>
      </c>
      <c r="N51" s="198">
        <f>INDEX('Raw Sales Forecasting Data'!$J$11:$N$126,MATCH('2.  Sales Data Key &amp; Key-Lyn'!$C51,'Raw Sales Forecasting Data'!$C$11:$C$126,0),MATCH('2.  Sales Data Key &amp; Key-Lyn'!N$6,'Raw Sales Forecasting Data'!$J$10:$N$10,0))</f>
        <v>2457.6999999999998</v>
      </c>
      <c r="O51" s="238">
        <f>INDEX('Raw Sales Forecasting Data'!$J$11:$N$126,MATCH('2.  Sales Data Key &amp; Key-Lyn'!$C51,'Raw Sales Forecasting Data'!$C$11:$C$126,0),MATCH('2.  Sales Data Key &amp; Key-Lyn'!O$6,'Raw Sales Forecasting Data'!$J$10:$N$10,0))</f>
        <v>1608.3</v>
      </c>
      <c r="P51" s="240">
        <f>IF(AND($E51&gt;='Launch flag &amp; Life-Cycle Factor'!$F$24, $E51&lt;='Launch flag &amp; Life-Cycle Factor'!$E$24),'Launch flag &amp; Life-Cycle Factor'!$H$24, IF(AND($E51&gt;='Launch flag &amp; Life-Cycle Factor'!$F$23, $E51&lt;='Launch flag &amp; Life-Cycle Factor'!$E$23),'Launch flag &amp; Life-Cycle Factor'!$H$23, IF(AND($E51&gt;='Launch flag &amp; Life-Cycle Factor'!$F$22, $E51&lt;='Launch flag &amp; Life-Cycle Factor'!$E$22),'Launch flag &amp; Life-Cycle Factor'!$H$22, IF(AND($E51&gt;='Launch flag &amp; Life-Cycle Factor'!$F$21, $E51&lt;='Launch flag &amp; Life-Cycle Factor'!$E$21),'Launch flag &amp; Life-Cycle Factor'!$H$21, IF(AND($E51&gt;='Launch flag &amp; Life-Cycle Factor'!$F$20, $E51&lt;='Launch flag &amp; Life-Cycle Factor'!$E$20),'Launch flag &amp; Life-Cycle Factor'!$H$20, IF(AND($E51&gt;='Launch flag &amp; Life-Cycle Factor'!$F$19, $E51&lt;='Launch flag &amp; Life-Cycle Factor'!$E$19),'Launch flag &amp; Life-Cycle Factor'!$H$19, IF(AND($E51&gt;='Launch flag &amp; Life-Cycle Factor'!$F$18, $E51&lt;='Launch flag &amp; Life-Cycle Factor'!$E$18),'Launch flag &amp; Life-Cycle Factor'!$H$18, IF(AND($E51&gt;='Launch flag &amp; Life-Cycle Factor'!$F$17, $E51&lt;='Launch flag &amp; Life-Cycle Factor'!$E$17),'Launch flag &amp; Life-Cycle Factor'!$H$17, IF(AND($E51&gt;='Launch flag &amp; Life-Cycle Factor'!$F$16, $E51&lt;='Launch flag &amp; Life-Cycle Factor'!$E$16),'Launch flag &amp; Life-Cycle Factor'!$H$16,IF(AND($E51&gt;='Launch flag &amp; Life-Cycle Factor'!$F$15, $E51&lt;='Launch flag &amp; Life-Cycle Factor'!$E$15),'Launch flag &amp; Life-Cycle Factor'!$H$15, IF(AND($E51&gt;='Launch flag &amp; Life-Cycle Factor'!$F$14, $E51&lt;='Launch flag &amp; Life-Cycle Factor'!$E$14),'Launch flag &amp; Life-Cycle Factor'!$H$14,IF(AND($E51&gt;='Launch flag &amp; Life-Cycle Factor'!$F$13, $E51&lt;='Launch flag &amp; Life-Cycle Factor'!$E$13),'Launch flag &amp; Life-Cycle Factor'!$H$13, IF(AND($E51&gt;='Launch flag &amp; Life-Cycle Factor'!$F$12, $E51&lt;='Launch flag &amp; Life-Cycle Factor'!$E$12),'Launch flag &amp; Life-Cycle Factor'!$H$12, IF(AND($E51&gt;='Launch flag &amp; Life-Cycle Factor'!$F$11, $E51&lt;='Launch flag &amp; Life-Cycle Factor'!$E$11),'Launch flag &amp; Life-Cycle Factor'!$H$11, IF(AND($E51&gt;='Launch flag &amp; Life-Cycle Factor'!$F$10, $E51&lt;='Launch flag &amp; Life-Cycle Factor'!$E$10),'Launch flag &amp; Life-Cycle Factor'!$H$10, IF(AND($E51&gt;='Launch flag &amp; Life-Cycle Factor'!$F$9, $E51&lt;='Launch flag &amp; Life-Cycle Factor'!$E$9),'Launch flag &amp; Life-Cycle Factor'!$H$9, IF(AND($E51&gt;='Launch flag &amp; Life-Cycle Factor'!$F$8, $E51&lt;='Launch flag &amp; Life-Cycle Factor'!$E$8),'Launch flag &amp; Life-Cycle Factor'!$H$8, IF(AND($E51&gt;='Launch flag &amp; Life-Cycle Factor'!$F$7, $E51&lt;='Launch flag &amp; Life-Cycle Factor'!$E$7),'Launch flag &amp; Life-Cycle Factor'!$H$7, IF(AND($E51&gt;='Launch flag &amp; Life-Cycle Factor'!$F$6, $E51&lt;='Launch flag &amp; Life-Cycle Factor'!$E$6),'Launch flag &amp; Life-Cycle Factor'!$H$6, "-")))))))))))))))))))</f>
        <v>0.65</v>
      </c>
      <c r="Q51" s="655">
        <f>IF(AND($E51&gt;='Launch flag &amp; Life-Cycle Factor'!$F$24, $E51&lt;='Launch flag &amp; Life-Cycle Factor'!$E$24),'Launch flag &amp; Life-Cycle Factor'!$I$24, IF(AND($E51&gt;='Launch flag &amp; Life-Cycle Factor'!$F$23, $E51&lt;='Launch flag &amp; Life-Cycle Factor'!$E$23),'Launch flag &amp; Life-Cycle Factor'!$I$23, IF(AND($E51&gt;='Launch flag &amp; Life-Cycle Factor'!$F$22, $E51&lt;='Launch flag &amp; Life-Cycle Factor'!$E$22),'Launch flag &amp; Life-Cycle Factor'!$I$22, IF(AND($E51&gt;='Launch flag &amp; Life-Cycle Factor'!$F$21, $E51&lt;='Launch flag &amp; Life-Cycle Factor'!$E$21),'Launch flag &amp; Life-Cycle Factor'!$I$21, IF(AND($E51&gt;='Launch flag &amp; Life-Cycle Factor'!$F$20, $E51&lt;='Launch flag &amp; Life-Cycle Factor'!$E$20),'Launch flag &amp; Life-Cycle Factor'!$I$20, IF(AND($E51&gt;='Launch flag &amp; Life-Cycle Factor'!$F$19, $E51&lt;='Launch flag &amp; Life-Cycle Factor'!$E$19),'Launch flag &amp; Life-Cycle Factor'!$I$19, IF(AND($E51&gt;='Launch flag &amp; Life-Cycle Factor'!$F$18, $E51&lt;='Launch flag &amp; Life-Cycle Factor'!$E$18),'Launch flag &amp; Life-Cycle Factor'!$I$18, IF(AND($E51&gt;='Launch flag &amp; Life-Cycle Factor'!$F$17, $E51&lt;='Launch flag &amp; Life-Cycle Factor'!$E$17),'Launch flag &amp; Life-Cycle Factor'!$I$17, IF(AND($E51&gt;='Launch flag &amp; Life-Cycle Factor'!$F$16, $E51&lt;='Launch flag &amp; Life-Cycle Factor'!$E$16),'Launch flag &amp; Life-Cycle Factor'!$I$16,IF(AND($E51&gt;='Launch flag &amp; Life-Cycle Factor'!$F$15, $E51&lt;='Launch flag &amp; Life-Cycle Factor'!$E$15),'Launch flag &amp; Life-Cycle Factor'!$I$15, IF(AND($E51&gt;='Launch flag &amp; Life-Cycle Factor'!$F$14, $E51&lt;='Launch flag &amp; Life-Cycle Factor'!$E$14),'Launch flag &amp; Life-Cycle Factor'!$I$14,IF(AND($E51&gt;='Launch flag &amp; Life-Cycle Factor'!$F$13, $E51&lt;='Launch flag &amp; Life-Cycle Factor'!$E$13),'Launch flag &amp; Life-Cycle Factor'!$I$13, IF(AND($E51&gt;='Launch flag &amp; Life-Cycle Factor'!$F$12, $E51&lt;='Launch flag &amp; Life-Cycle Factor'!$E$12),'Launch flag &amp; Life-Cycle Factor'!$I$12, IF(AND($E51&gt;='Launch flag &amp; Life-Cycle Factor'!$F$11, $E51&lt;='Launch flag &amp; Life-Cycle Factor'!$E$11),'Launch flag &amp; Life-Cycle Factor'!$I$11, IF(AND($E51&gt;='Launch flag &amp; Life-Cycle Factor'!$F$10, $E51&lt;='Launch flag &amp; Life-Cycle Factor'!$E$10),'Launch flag &amp; Life-Cycle Factor'!$I$10, IF(AND($E51&gt;='Launch flag &amp; Life-Cycle Factor'!$F$9, $E51&lt;='Launch flag &amp; Life-Cycle Factor'!$E$9),'Launch flag &amp; Life-Cycle Factor'!$I$9, IF(AND($E51&gt;='Launch flag &amp; Life-Cycle Factor'!$F$8, $E51&lt;='Launch flag &amp; Life-Cycle Factor'!$E$8),'Launch flag &amp; Life-Cycle Factor'!$I$8, IF(AND($E51&gt;='Launch flag &amp; Life-Cycle Factor'!$F$7, $E51&lt;='Launch flag &amp; Life-Cycle Factor'!$E$7),'Launch flag &amp; Life-Cycle Factor'!$I$7, IF(AND($E51&gt;='Launch flag &amp; Life-Cycle Factor'!$F$6, $E51&lt;='Launch flag &amp; Life-Cycle Factor'!$E$6),'Launch flag &amp; Life-Cycle Factor'!$I$6, "-")))))))))))))))))))</f>
        <v>0.35</v>
      </c>
      <c r="R51" s="662">
        <f t="shared" si="0"/>
        <v>1908.2700000000002</v>
      </c>
      <c r="S51" s="663">
        <f t="shared" si="1"/>
        <v>860.19499999999994</v>
      </c>
      <c r="T51" s="242">
        <f t="shared" si="2"/>
        <v>1908.2700000000002</v>
      </c>
      <c r="U51" s="243">
        <f t="shared" si="3"/>
        <v>860.19499999999994</v>
      </c>
      <c r="V51" s="837">
        <f t="shared" si="4"/>
        <v>2768.4650000000001</v>
      </c>
      <c r="W51" s="838">
        <f t="shared" si="5"/>
        <v>2768.4650000000001</v>
      </c>
      <c r="X51" s="672"/>
    </row>
    <row r="52" spans="2:24" x14ac:dyDescent="0.35">
      <c r="B52" s="186" t="s">
        <v>43</v>
      </c>
      <c r="C52" s="192" t="s">
        <v>269</v>
      </c>
      <c r="D52" s="206" t="str">
        <f>IF(AND($E52&gt;='Launch flag &amp; Life-Cycle Factor'!$F$24, $E52&lt;='Launch flag &amp; Life-Cycle Factor'!$E$24),'Launch flag &amp; Life-Cycle Factor'!$B$24, IF(AND($E52&gt;='Launch flag &amp; Life-Cycle Factor'!$F$23, $E52&lt;='Launch flag &amp; Life-Cycle Factor'!$E$23),'Launch flag &amp; Life-Cycle Factor'!$B$23, IF(AND($E52&gt;='Launch flag &amp; Life-Cycle Factor'!$F$22, $E52&lt;='Launch flag &amp; Life-Cycle Factor'!$E$22),'Launch flag &amp; Life-Cycle Factor'!$B$22, IF(AND($E52&gt;='Launch flag &amp; Life-Cycle Factor'!$F$21, $E52&lt;='Launch flag &amp; Life-Cycle Factor'!$E$21),'Launch flag &amp; Life-Cycle Factor'!$B$21, IF(AND($E52&gt;='Launch flag &amp; Life-Cycle Factor'!$F$20, $E52&lt;='Launch flag &amp; Life-Cycle Factor'!$E$20),'Launch flag &amp; Life-Cycle Factor'!$B$20, IF(AND($E52&gt;='Launch flag &amp; Life-Cycle Factor'!$F$19, $E52&lt;='Launch flag &amp; Life-Cycle Factor'!$E$19),'Launch flag &amp; Life-Cycle Factor'!$B$19, IF(AND($E52&gt;='Launch flag &amp; Life-Cycle Factor'!$F$18, $E52&lt;='Launch flag &amp; Life-Cycle Factor'!$E$18),'Launch flag &amp; Life-Cycle Factor'!$B$18, IF(AND($E52&gt;='Launch flag &amp; Life-Cycle Factor'!$F$17, $E52&lt;='Launch flag &amp; Life-Cycle Factor'!$E$17),'Launch flag &amp; Life-Cycle Factor'!$B$17, IF(AND($E52&gt;='Launch flag &amp; Life-Cycle Factor'!$F$16, $E52&lt;='Launch flag &amp; Life-Cycle Factor'!$E$16),'Launch flag &amp; Life-Cycle Factor'!$B$16,IF(AND($E52&gt;='Launch flag &amp; Life-Cycle Factor'!$F$15, $E52&lt;='Launch flag &amp; Life-Cycle Factor'!$E$15),'Launch flag &amp; Life-Cycle Factor'!$B$15, IF(AND($E52&gt;='Launch flag &amp; Life-Cycle Factor'!$F$14, $E52&lt;='Launch flag &amp; Life-Cycle Factor'!$E$14),'Launch flag &amp; Life-Cycle Factor'!$B$14,IF(AND($E52&gt;='Launch flag &amp; Life-Cycle Factor'!$F$13, $E52&lt;='Launch flag &amp; Life-Cycle Factor'!$E$13),'Launch flag &amp; Life-Cycle Factor'!$B$13, IF(AND($E52&gt;='Launch flag &amp; Life-Cycle Factor'!$F$12, $E52&lt;='Launch flag &amp; Life-Cycle Factor'!$E$12),'Launch flag &amp; Life-Cycle Factor'!$B$12, IF(AND($E52&gt;='Launch flag &amp; Life-Cycle Factor'!$F$11, $E52&lt;='Launch flag &amp; Life-Cycle Factor'!$E$11),'Launch flag &amp; Life-Cycle Factor'!$B$11, IF(AND($E52&gt;='Launch flag &amp; Life-Cycle Factor'!$F$10, $E52&lt;='Launch flag &amp; Life-Cycle Factor'!$E$10),'Launch flag &amp; Life-Cycle Factor'!$B$10, IF(AND($E52&gt;='Launch flag &amp; Life-Cycle Factor'!$F$9, $E52&lt;='Launch flag &amp; Life-Cycle Factor'!$E$9),'Launch flag &amp; Life-Cycle Factor'!$B$9, IF(AND($E52&gt;='Launch flag &amp; Life-Cycle Factor'!$F$8, $E52&lt;='Launch flag &amp; Life-Cycle Factor'!$E$8),'Launch flag &amp; Life-Cycle Factor'!$B$8, IF(AND($E52&gt;='Launch flag &amp; Life-Cycle Factor'!$F$7, $E52&lt;='Launch flag &amp; Life-Cycle Factor'!$E$7),'Launch flag &amp; Life-Cycle Factor'!$B$7, IF(AND($E52&gt;='Launch flag &amp; Life-Cycle Factor'!$F$6, $E52&lt;='Launch flag &amp; Life-Cycle Factor'!$E$6),'Launch flag &amp; Life-Cycle Factor'!$B$6, "-")))))))))))))))))))</f>
        <v>Mature</v>
      </c>
      <c r="E52" s="219">
        <f>INDEX('NPS with launch Dates '!$J$6:$J$59,MATCH('2.  Sales Data Key &amp; Key-Lyn'!$C52,'NPS with launch Dates '!$I$6:$I$59,0))</f>
        <v>43101</v>
      </c>
      <c r="F52" s="197">
        <f>INDEX('Raw Sales Forecasting Data'!$D$11:$H$126,MATCH('2.  Sales Data Key &amp; Key-Lyn'!$C52,'Raw Sales Forecasting Data'!$C$11:$C$126,0),MATCH('2.  Sales Data Key &amp; Key-Lyn'!F$6,'Raw Sales Forecasting Data'!$D$10:$H$10,0))</f>
        <v>819.36461723317802</v>
      </c>
      <c r="G52" s="198">
        <f>INDEX('Raw Sales Forecasting Data'!$D$11:$H$126,MATCH('2.  Sales Data Key &amp; Key-Lyn'!$C52,'Raw Sales Forecasting Data'!$C$11:$C$126,0),MATCH('2.  Sales Data Key &amp; Key-Lyn'!G$6,'Raw Sales Forecasting Data'!$D$10:$H$10,0))</f>
        <v>851.27352817523536</v>
      </c>
      <c r="H52" s="198">
        <f>INDEX('Raw Sales Forecasting Data'!$D$11:$H$126,MATCH('2.  Sales Data Key &amp; Key-Lyn'!$C52,'Raw Sales Forecasting Data'!$C$11:$C$126,0),MATCH('2.  Sales Data Key &amp; Key-Lyn'!H$6,'Raw Sales Forecasting Data'!$D$10:$H$10,0))</f>
        <v>1012.8517747671409</v>
      </c>
      <c r="I52" s="198">
        <f>INDEX('Raw Sales Forecasting Data'!$D$11:$H$126,MATCH('2.  Sales Data Key &amp; Key-Lyn'!$C52,'Raw Sales Forecasting Data'!$C$11:$C$126,0),MATCH('2.  Sales Data Key &amp; Key-Lyn'!I$6,'Raw Sales Forecasting Data'!$D$10:$H$10,0))</f>
        <v>1162.15204137569</v>
      </c>
      <c r="J52" s="199">
        <f>INDEX('Raw Sales Forecasting Data'!$D$11:$H$126,MATCH('2.  Sales Data Key &amp; Key-Lyn'!$C52,'Raw Sales Forecasting Data'!$C$11:$C$126,0),MATCH('2.  Sales Data Key &amp; Key-Lyn'!J$6,'Raw Sales Forecasting Data'!$D$10:$H$10,0))</f>
        <v>1227.2282646523768</v>
      </c>
      <c r="K52" s="203">
        <f>INDEX('Raw Sales Forecasting Data'!$J$11:$N$126,MATCH('2.  Sales Data Key &amp; Key-Lyn'!$C52,'Raw Sales Forecasting Data'!$C$11:$C$126,0),MATCH('2.  Sales Data Key &amp; Key-Lyn'!K$6,'Raw Sales Forecasting Data'!$J$10:$N$10,0))</f>
        <v>819.36461723317802</v>
      </c>
      <c r="L52" s="198">
        <f>INDEX('Raw Sales Forecasting Data'!$J$11:$N$126,MATCH('2.  Sales Data Key &amp; Key-Lyn'!$C52,'Raw Sales Forecasting Data'!$C$11:$C$126,0),MATCH('2.  Sales Data Key &amp; Key-Lyn'!L$6,'Raw Sales Forecasting Data'!$J$10:$N$10,0))</f>
        <v>851.27352817523536</v>
      </c>
      <c r="M52" s="198">
        <f>INDEX('Raw Sales Forecasting Data'!$J$11:$N$126,MATCH('2.  Sales Data Key &amp; Key-Lyn'!$C52,'Raw Sales Forecasting Data'!$C$11:$C$126,0),MATCH('2.  Sales Data Key &amp; Key-Lyn'!M$6,'Raw Sales Forecasting Data'!$J$10:$N$10,0))</f>
        <v>1012.8517747671409</v>
      </c>
      <c r="N52" s="198">
        <f>INDEX('Raw Sales Forecasting Data'!$J$11:$N$126,MATCH('2.  Sales Data Key &amp; Key-Lyn'!$C52,'Raw Sales Forecasting Data'!$C$11:$C$126,0),MATCH('2.  Sales Data Key &amp; Key-Lyn'!N$6,'Raw Sales Forecasting Data'!$J$10:$N$10,0))</f>
        <v>1012.8517747671409</v>
      </c>
      <c r="O52" s="238">
        <f>INDEX('Raw Sales Forecasting Data'!$J$11:$N$126,MATCH('2.  Sales Data Key &amp; Key-Lyn'!$C52,'Raw Sales Forecasting Data'!$C$11:$C$126,0),MATCH('2.  Sales Data Key &amp; Key-Lyn'!O$6,'Raw Sales Forecasting Data'!$J$10:$N$10,0))</f>
        <v>1227.2282646523768</v>
      </c>
      <c r="P52" s="240">
        <f>IF(AND($E52&gt;='Launch flag &amp; Life-Cycle Factor'!$F$24, $E52&lt;='Launch flag &amp; Life-Cycle Factor'!$E$24),'Launch flag &amp; Life-Cycle Factor'!$H$24, IF(AND($E52&gt;='Launch flag &amp; Life-Cycle Factor'!$F$23, $E52&lt;='Launch flag &amp; Life-Cycle Factor'!$E$23),'Launch flag &amp; Life-Cycle Factor'!$H$23, IF(AND($E52&gt;='Launch flag &amp; Life-Cycle Factor'!$F$22, $E52&lt;='Launch flag &amp; Life-Cycle Factor'!$E$22),'Launch flag &amp; Life-Cycle Factor'!$H$22, IF(AND($E52&gt;='Launch flag &amp; Life-Cycle Factor'!$F$21, $E52&lt;='Launch flag &amp; Life-Cycle Factor'!$E$21),'Launch flag &amp; Life-Cycle Factor'!$H$21, IF(AND($E52&gt;='Launch flag &amp; Life-Cycle Factor'!$F$20, $E52&lt;='Launch flag &amp; Life-Cycle Factor'!$E$20),'Launch flag &amp; Life-Cycle Factor'!$H$20, IF(AND($E52&gt;='Launch flag &amp; Life-Cycle Factor'!$F$19, $E52&lt;='Launch flag &amp; Life-Cycle Factor'!$E$19),'Launch flag &amp; Life-Cycle Factor'!$H$19, IF(AND($E52&gt;='Launch flag &amp; Life-Cycle Factor'!$F$18, $E52&lt;='Launch flag &amp; Life-Cycle Factor'!$E$18),'Launch flag &amp; Life-Cycle Factor'!$H$18, IF(AND($E52&gt;='Launch flag &amp; Life-Cycle Factor'!$F$17, $E52&lt;='Launch flag &amp; Life-Cycle Factor'!$E$17),'Launch flag &amp; Life-Cycle Factor'!$H$17, IF(AND($E52&gt;='Launch flag &amp; Life-Cycle Factor'!$F$16, $E52&lt;='Launch flag &amp; Life-Cycle Factor'!$E$16),'Launch flag &amp; Life-Cycle Factor'!$H$16,IF(AND($E52&gt;='Launch flag &amp; Life-Cycle Factor'!$F$15, $E52&lt;='Launch flag &amp; Life-Cycle Factor'!$E$15),'Launch flag &amp; Life-Cycle Factor'!$H$15, IF(AND($E52&gt;='Launch flag &amp; Life-Cycle Factor'!$F$14, $E52&lt;='Launch flag &amp; Life-Cycle Factor'!$E$14),'Launch flag &amp; Life-Cycle Factor'!$H$14,IF(AND($E52&gt;='Launch flag &amp; Life-Cycle Factor'!$F$13, $E52&lt;='Launch flag &amp; Life-Cycle Factor'!$E$13),'Launch flag &amp; Life-Cycle Factor'!$H$13, IF(AND($E52&gt;='Launch flag &amp; Life-Cycle Factor'!$F$12, $E52&lt;='Launch flag &amp; Life-Cycle Factor'!$E$12),'Launch flag &amp; Life-Cycle Factor'!$H$12, IF(AND($E52&gt;='Launch flag &amp; Life-Cycle Factor'!$F$11, $E52&lt;='Launch flag &amp; Life-Cycle Factor'!$E$11),'Launch flag &amp; Life-Cycle Factor'!$H$11, IF(AND($E52&gt;='Launch flag &amp; Life-Cycle Factor'!$F$10, $E52&lt;='Launch flag &amp; Life-Cycle Factor'!$E$10),'Launch flag &amp; Life-Cycle Factor'!$H$10, IF(AND($E52&gt;='Launch flag &amp; Life-Cycle Factor'!$F$9, $E52&lt;='Launch flag &amp; Life-Cycle Factor'!$E$9),'Launch flag &amp; Life-Cycle Factor'!$H$9, IF(AND($E52&gt;='Launch flag &amp; Life-Cycle Factor'!$F$8, $E52&lt;='Launch flag &amp; Life-Cycle Factor'!$E$8),'Launch flag &amp; Life-Cycle Factor'!$H$8, IF(AND($E52&gt;='Launch flag &amp; Life-Cycle Factor'!$F$7, $E52&lt;='Launch flag &amp; Life-Cycle Factor'!$E$7),'Launch flag &amp; Life-Cycle Factor'!$H$7, IF(AND($E52&gt;='Launch flag &amp; Life-Cycle Factor'!$F$6, $E52&lt;='Launch flag &amp; Life-Cycle Factor'!$E$6),'Launch flag &amp; Life-Cycle Factor'!$H$6, "-")))))))))))))))))))</f>
        <v>0.65</v>
      </c>
      <c r="Q52" s="655">
        <f>IF(AND($E52&gt;='Launch flag &amp; Life-Cycle Factor'!$F$24, $E52&lt;='Launch flag &amp; Life-Cycle Factor'!$E$24),'Launch flag &amp; Life-Cycle Factor'!$I$24, IF(AND($E52&gt;='Launch flag &amp; Life-Cycle Factor'!$F$23, $E52&lt;='Launch flag &amp; Life-Cycle Factor'!$E$23),'Launch flag &amp; Life-Cycle Factor'!$I$23, IF(AND($E52&gt;='Launch flag &amp; Life-Cycle Factor'!$F$22, $E52&lt;='Launch flag &amp; Life-Cycle Factor'!$E$22),'Launch flag &amp; Life-Cycle Factor'!$I$22, IF(AND($E52&gt;='Launch flag &amp; Life-Cycle Factor'!$F$21, $E52&lt;='Launch flag &amp; Life-Cycle Factor'!$E$21),'Launch flag &amp; Life-Cycle Factor'!$I$21, IF(AND($E52&gt;='Launch flag &amp; Life-Cycle Factor'!$F$20, $E52&lt;='Launch flag &amp; Life-Cycle Factor'!$E$20),'Launch flag &amp; Life-Cycle Factor'!$I$20, IF(AND($E52&gt;='Launch flag &amp; Life-Cycle Factor'!$F$19, $E52&lt;='Launch flag &amp; Life-Cycle Factor'!$E$19),'Launch flag &amp; Life-Cycle Factor'!$I$19, IF(AND($E52&gt;='Launch flag &amp; Life-Cycle Factor'!$F$18, $E52&lt;='Launch flag &amp; Life-Cycle Factor'!$E$18),'Launch flag &amp; Life-Cycle Factor'!$I$18, IF(AND($E52&gt;='Launch flag &amp; Life-Cycle Factor'!$F$17, $E52&lt;='Launch flag &amp; Life-Cycle Factor'!$E$17),'Launch flag &amp; Life-Cycle Factor'!$I$17, IF(AND($E52&gt;='Launch flag &amp; Life-Cycle Factor'!$F$16, $E52&lt;='Launch flag &amp; Life-Cycle Factor'!$E$16),'Launch flag &amp; Life-Cycle Factor'!$I$16,IF(AND($E52&gt;='Launch flag &amp; Life-Cycle Factor'!$F$15, $E52&lt;='Launch flag &amp; Life-Cycle Factor'!$E$15),'Launch flag &amp; Life-Cycle Factor'!$I$15, IF(AND($E52&gt;='Launch flag &amp; Life-Cycle Factor'!$F$14, $E52&lt;='Launch flag &amp; Life-Cycle Factor'!$E$14),'Launch flag &amp; Life-Cycle Factor'!$I$14,IF(AND($E52&gt;='Launch flag &amp; Life-Cycle Factor'!$F$13, $E52&lt;='Launch flag &amp; Life-Cycle Factor'!$E$13),'Launch flag &amp; Life-Cycle Factor'!$I$13, IF(AND($E52&gt;='Launch flag &amp; Life-Cycle Factor'!$F$12, $E52&lt;='Launch flag &amp; Life-Cycle Factor'!$E$12),'Launch flag &amp; Life-Cycle Factor'!$I$12, IF(AND($E52&gt;='Launch flag &amp; Life-Cycle Factor'!$F$11, $E52&lt;='Launch flag &amp; Life-Cycle Factor'!$E$11),'Launch flag &amp; Life-Cycle Factor'!$I$11, IF(AND($E52&gt;='Launch flag &amp; Life-Cycle Factor'!$F$10, $E52&lt;='Launch flag &amp; Life-Cycle Factor'!$E$10),'Launch flag &amp; Life-Cycle Factor'!$I$10, IF(AND($E52&gt;='Launch flag &amp; Life-Cycle Factor'!$F$9, $E52&lt;='Launch flag &amp; Life-Cycle Factor'!$E$9),'Launch flag &amp; Life-Cycle Factor'!$I$9, IF(AND($E52&gt;='Launch flag &amp; Life-Cycle Factor'!$F$8, $E52&lt;='Launch flag &amp; Life-Cycle Factor'!$E$8),'Launch flag &amp; Life-Cycle Factor'!$I$8, IF(AND($E52&gt;='Launch flag &amp; Life-Cycle Factor'!$F$7, $E52&lt;='Launch flag &amp; Life-Cycle Factor'!$E$7),'Launch flag &amp; Life-Cycle Factor'!$I$7, IF(AND($E52&gt;='Launch flag &amp; Life-Cycle Factor'!$F$6, $E52&lt;='Launch flag &amp; Life-Cycle Factor'!$E$6),'Launch flag &amp; Life-Cycle Factor'!$I$6, "-")))))))))))))))))))</f>
        <v>0.35</v>
      </c>
      <c r="R52" s="662">
        <f t="shared" si="0"/>
        <v>553.32779331390304</v>
      </c>
      <c r="S52" s="663">
        <f t="shared" si="1"/>
        <v>354.49812116849932</v>
      </c>
      <c r="T52" s="242">
        <f t="shared" si="2"/>
        <v>553.32779331390304</v>
      </c>
      <c r="U52" s="243">
        <f t="shared" si="3"/>
        <v>354.49812116849932</v>
      </c>
      <c r="V52" s="837">
        <f t="shared" si="4"/>
        <v>907.82591448240237</v>
      </c>
      <c r="W52" s="838">
        <f t="shared" si="5"/>
        <v>907.82591448240237</v>
      </c>
      <c r="X52" s="672"/>
    </row>
    <row r="53" spans="2:24" x14ac:dyDescent="0.35">
      <c r="B53" s="186" t="s">
        <v>43</v>
      </c>
      <c r="C53" s="192" t="s">
        <v>272</v>
      </c>
      <c r="D53" s="206" t="str">
        <f>IF(AND($E53&gt;='Launch flag &amp; Life-Cycle Factor'!$F$24, $E53&lt;='Launch flag &amp; Life-Cycle Factor'!$E$24),'Launch flag &amp; Life-Cycle Factor'!$B$24, IF(AND($E53&gt;='Launch flag &amp; Life-Cycle Factor'!$F$23, $E53&lt;='Launch flag &amp; Life-Cycle Factor'!$E$23),'Launch flag &amp; Life-Cycle Factor'!$B$23, IF(AND($E53&gt;='Launch flag &amp; Life-Cycle Factor'!$F$22, $E53&lt;='Launch flag &amp; Life-Cycle Factor'!$E$22),'Launch flag &amp; Life-Cycle Factor'!$B$22, IF(AND($E53&gt;='Launch flag &amp; Life-Cycle Factor'!$F$21, $E53&lt;='Launch flag &amp; Life-Cycle Factor'!$E$21),'Launch flag &amp; Life-Cycle Factor'!$B$21, IF(AND($E53&gt;='Launch flag &amp; Life-Cycle Factor'!$F$20, $E53&lt;='Launch flag &amp; Life-Cycle Factor'!$E$20),'Launch flag &amp; Life-Cycle Factor'!$B$20, IF(AND($E53&gt;='Launch flag &amp; Life-Cycle Factor'!$F$19, $E53&lt;='Launch flag &amp; Life-Cycle Factor'!$E$19),'Launch flag &amp; Life-Cycle Factor'!$B$19, IF(AND($E53&gt;='Launch flag &amp; Life-Cycle Factor'!$F$18, $E53&lt;='Launch flag &amp; Life-Cycle Factor'!$E$18),'Launch flag &amp; Life-Cycle Factor'!$B$18, IF(AND($E53&gt;='Launch flag &amp; Life-Cycle Factor'!$F$17, $E53&lt;='Launch flag &amp; Life-Cycle Factor'!$E$17),'Launch flag &amp; Life-Cycle Factor'!$B$17, IF(AND($E53&gt;='Launch flag &amp; Life-Cycle Factor'!$F$16, $E53&lt;='Launch flag &amp; Life-Cycle Factor'!$E$16),'Launch flag &amp; Life-Cycle Factor'!$B$16,IF(AND($E53&gt;='Launch flag &amp; Life-Cycle Factor'!$F$15, $E53&lt;='Launch flag &amp; Life-Cycle Factor'!$E$15),'Launch flag &amp; Life-Cycle Factor'!$B$15, IF(AND($E53&gt;='Launch flag &amp; Life-Cycle Factor'!$F$14, $E53&lt;='Launch flag &amp; Life-Cycle Factor'!$E$14),'Launch flag &amp; Life-Cycle Factor'!$B$14,IF(AND($E53&gt;='Launch flag &amp; Life-Cycle Factor'!$F$13, $E53&lt;='Launch flag &amp; Life-Cycle Factor'!$E$13),'Launch flag &amp; Life-Cycle Factor'!$B$13, IF(AND($E53&gt;='Launch flag &amp; Life-Cycle Factor'!$F$12, $E53&lt;='Launch flag &amp; Life-Cycle Factor'!$E$12),'Launch flag &amp; Life-Cycle Factor'!$B$12, IF(AND($E53&gt;='Launch flag &amp; Life-Cycle Factor'!$F$11, $E53&lt;='Launch flag &amp; Life-Cycle Factor'!$E$11),'Launch flag &amp; Life-Cycle Factor'!$B$11, IF(AND($E53&gt;='Launch flag &amp; Life-Cycle Factor'!$F$10, $E53&lt;='Launch flag &amp; Life-Cycle Factor'!$E$10),'Launch flag &amp; Life-Cycle Factor'!$B$10, IF(AND($E53&gt;='Launch flag &amp; Life-Cycle Factor'!$F$9, $E53&lt;='Launch flag &amp; Life-Cycle Factor'!$E$9),'Launch flag &amp; Life-Cycle Factor'!$B$9, IF(AND($E53&gt;='Launch flag &amp; Life-Cycle Factor'!$F$8, $E53&lt;='Launch flag &amp; Life-Cycle Factor'!$E$8),'Launch flag &amp; Life-Cycle Factor'!$B$8, IF(AND($E53&gt;='Launch flag &amp; Life-Cycle Factor'!$F$7, $E53&lt;='Launch flag &amp; Life-Cycle Factor'!$E$7),'Launch flag &amp; Life-Cycle Factor'!$B$7, IF(AND($E53&gt;='Launch flag &amp; Life-Cycle Factor'!$F$6, $E53&lt;='Launch flag &amp; Life-Cycle Factor'!$E$6),'Launch flag &amp; Life-Cycle Factor'!$B$6, "-")))))))))))))))))))</f>
        <v>Recent Launch</v>
      </c>
      <c r="E53" s="219">
        <f>INDEX('NPS with launch Dates '!$J$6:$J$59,MATCH('2.  Sales Data Key &amp; Key-Lyn'!$C53,'NPS with launch Dates '!$I$6:$I$59,0))</f>
        <v>44950</v>
      </c>
      <c r="F53" s="197">
        <f>INDEX('Raw Sales Forecasting Data'!$D$11:$H$126,MATCH('2.  Sales Data Key &amp; Key-Lyn'!$C53,'Raw Sales Forecasting Data'!$C$11:$C$126,0),MATCH('2.  Sales Data Key &amp; Key-Lyn'!F$6,'Raw Sales Forecasting Data'!$D$10:$H$10,0))</f>
        <v>108.250213</v>
      </c>
      <c r="G53" s="198">
        <f>INDEX('Raw Sales Forecasting Data'!$D$11:$H$126,MATCH('2.  Sales Data Key &amp; Key-Lyn'!$C53,'Raw Sales Forecasting Data'!$C$11:$C$126,0),MATCH('2.  Sales Data Key &amp; Key-Lyn'!G$6,'Raw Sales Forecasting Data'!$D$10:$H$10,0))</f>
        <v>330.33828999999997</v>
      </c>
      <c r="H53" s="198">
        <f>INDEX('Raw Sales Forecasting Data'!$D$11:$H$126,MATCH('2.  Sales Data Key &amp; Key-Lyn'!$C53,'Raw Sales Forecasting Data'!$C$11:$C$126,0),MATCH('2.  Sales Data Key &amp; Key-Lyn'!H$6,'Raw Sales Forecasting Data'!$D$10:$H$10,0))</f>
        <v>324.70640100000003</v>
      </c>
      <c r="I53" s="198">
        <f>INDEX('Raw Sales Forecasting Data'!$D$11:$H$126,MATCH('2.  Sales Data Key &amp; Key-Lyn'!$C53,'Raw Sales Forecasting Data'!$C$11:$C$126,0),MATCH('2.  Sales Data Key &amp; Key-Lyn'!I$6,'Raw Sales Forecasting Data'!$D$10:$H$10,0))</f>
        <v>330.45791100000002</v>
      </c>
      <c r="J53" s="199">
        <f>INDEX('Raw Sales Forecasting Data'!$D$11:$H$126,MATCH('2.  Sales Data Key &amp; Key-Lyn'!$C53,'Raw Sales Forecasting Data'!$C$11:$C$126,0),MATCH('2.  Sales Data Key &amp; Key-Lyn'!J$6,'Raw Sales Forecasting Data'!$D$10:$H$10,0))</f>
        <v>352.59920499999998</v>
      </c>
      <c r="K53" s="203">
        <f>INDEX('Raw Sales Forecasting Data'!$J$11:$N$126,MATCH('2.  Sales Data Key &amp; Key-Lyn'!$C53,'Raw Sales Forecasting Data'!$C$11:$C$126,0),MATCH('2.  Sales Data Key &amp; Key-Lyn'!K$6,'Raw Sales Forecasting Data'!$J$10:$N$10,0))</f>
        <v>108.250213</v>
      </c>
      <c r="L53" s="198">
        <f>INDEX('Raw Sales Forecasting Data'!$J$11:$N$126,MATCH('2.  Sales Data Key &amp; Key-Lyn'!$C53,'Raw Sales Forecasting Data'!$C$11:$C$126,0),MATCH('2.  Sales Data Key &amp; Key-Lyn'!L$6,'Raw Sales Forecasting Data'!$J$10:$N$10,0))</f>
        <v>330.33828999999997</v>
      </c>
      <c r="M53" s="198">
        <f>INDEX('Raw Sales Forecasting Data'!$J$11:$N$126,MATCH('2.  Sales Data Key &amp; Key-Lyn'!$C53,'Raw Sales Forecasting Data'!$C$11:$C$126,0),MATCH('2.  Sales Data Key &amp; Key-Lyn'!M$6,'Raw Sales Forecasting Data'!$J$10:$N$10,0))</f>
        <v>324.70640100000003</v>
      </c>
      <c r="N53" s="198">
        <f>INDEX('Raw Sales Forecasting Data'!$J$11:$N$126,MATCH('2.  Sales Data Key &amp; Key-Lyn'!$C53,'Raw Sales Forecasting Data'!$C$11:$C$126,0),MATCH('2.  Sales Data Key &amp; Key-Lyn'!N$6,'Raw Sales Forecasting Data'!$J$10:$N$10,0))</f>
        <v>324.70640100000003</v>
      </c>
      <c r="O53" s="238">
        <f>INDEX('Raw Sales Forecasting Data'!$J$11:$N$126,MATCH('2.  Sales Data Key &amp; Key-Lyn'!$C53,'Raw Sales Forecasting Data'!$C$11:$C$126,0),MATCH('2.  Sales Data Key &amp; Key-Lyn'!O$6,'Raw Sales Forecasting Data'!$J$10:$N$10,0))</f>
        <v>352.59920499999998</v>
      </c>
      <c r="P53" s="240">
        <f>IF(AND($E53&gt;='Launch flag &amp; Life-Cycle Factor'!$F$24, $E53&lt;='Launch flag &amp; Life-Cycle Factor'!$E$24),'Launch flag &amp; Life-Cycle Factor'!$H$24, IF(AND($E53&gt;='Launch flag &amp; Life-Cycle Factor'!$F$23, $E53&lt;='Launch flag &amp; Life-Cycle Factor'!$E$23),'Launch flag &amp; Life-Cycle Factor'!$H$23, IF(AND($E53&gt;='Launch flag &amp; Life-Cycle Factor'!$F$22, $E53&lt;='Launch flag &amp; Life-Cycle Factor'!$E$22),'Launch flag &amp; Life-Cycle Factor'!$H$22, IF(AND($E53&gt;='Launch flag &amp; Life-Cycle Factor'!$F$21, $E53&lt;='Launch flag &amp; Life-Cycle Factor'!$E$21),'Launch flag &amp; Life-Cycle Factor'!$H$21, IF(AND($E53&gt;='Launch flag &amp; Life-Cycle Factor'!$F$20, $E53&lt;='Launch flag &amp; Life-Cycle Factor'!$E$20),'Launch flag &amp; Life-Cycle Factor'!$H$20, IF(AND($E53&gt;='Launch flag &amp; Life-Cycle Factor'!$F$19, $E53&lt;='Launch flag &amp; Life-Cycle Factor'!$E$19),'Launch flag &amp; Life-Cycle Factor'!$H$19, IF(AND($E53&gt;='Launch flag &amp; Life-Cycle Factor'!$F$18, $E53&lt;='Launch flag &amp; Life-Cycle Factor'!$E$18),'Launch flag &amp; Life-Cycle Factor'!$H$18, IF(AND($E53&gt;='Launch flag &amp; Life-Cycle Factor'!$F$17, $E53&lt;='Launch flag &amp; Life-Cycle Factor'!$E$17),'Launch flag &amp; Life-Cycle Factor'!$H$17, IF(AND($E53&gt;='Launch flag &amp; Life-Cycle Factor'!$F$16, $E53&lt;='Launch flag &amp; Life-Cycle Factor'!$E$16),'Launch flag &amp; Life-Cycle Factor'!$H$16,IF(AND($E53&gt;='Launch flag &amp; Life-Cycle Factor'!$F$15, $E53&lt;='Launch flag &amp; Life-Cycle Factor'!$E$15),'Launch flag &amp; Life-Cycle Factor'!$H$15, IF(AND($E53&gt;='Launch flag &amp; Life-Cycle Factor'!$F$14, $E53&lt;='Launch flag &amp; Life-Cycle Factor'!$E$14),'Launch flag &amp; Life-Cycle Factor'!$H$14,IF(AND($E53&gt;='Launch flag &amp; Life-Cycle Factor'!$F$13, $E53&lt;='Launch flag &amp; Life-Cycle Factor'!$E$13),'Launch flag &amp; Life-Cycle Factor'!$H$13, IF(AND($E53&gt;='Launch flag &amp; Life-Cycle Factor'!$F$12, $E53&lt;='Launch flag &amp; Life-Cycle Factor'!$E$12),'Launch flag &amp; Life-Cycle Factor'!$H$12, IF(AND($E53&gt;='Launch flag &amp; Life-Cycle Factor'!$F$11, $E53&lt;='Launch flag &amp; Life-Cycle Factor'!$E$11),'Launch flag &amp; Life-Cycle Factor'!$H$11, IF(AND($E53&gt;='Launch flag &amp; Life-Cycle Factor'!$F$10, $E53&lt;='Launch flag &amp; Life-Cycle Factor'!$E$10),'Launch flag &amp; Life-Cycle Factor'!$H$10, IF(AND($E53&gt;='Launch flag &amp; Life-Cycle Factor'!$F$9, $E53&lt;='Launch flag &amp; Life-Cycle Factor'!$E$9),'Launch flag &amp; Life-Cycle Factor'!$H$9, IF(AND($E53&gt;='Launch flag &amp; Life-Cycle Factor'!$F$8, $E53&lt;='Launch flag &amp; Life-Cycle Factor'!$E$8),'Launch flag &amp; Life-Cycle Factor'!$H$8, IF(AND($E53&gt;='Launch flag &amp; Life-Cycle Factor'!$F$7, $E53&lt;='Launch flag &amp; Life-Cycle Factor'!$E$7),'Launch flag &amp; Life-Cycle Factor'!$H$7, IF(AND($E53&gt;='Launch flag &amp; Life-Cycle Factor'!$F$6, $E53&lt;='Launch flag &amp; Life-Cycle Factor'!$E$6),'Launch flag &amp; Life-Cycle Factor'!$H$6, "-")))))))))))))))))))</f>
        <v>0.65</v>
      </c>
      <c r="Q53" s="655">
        <f>IF(AND($E53&gt;='Launch flag &amp; Life-Cycle Factor'!$F$24, $E53&lt;='Launch flag &amp; Life-Cycle Factor'!$E$24),'Launch flag &amp; Life-Cycle Factor'!$I$24, IF(AND($E53&gt;='Launch flag &amp; Life-Cycle Factor'!$F$23, $E53&lt;='Launch flag &amp; Life-Cycle Factor'!$E$23),'Launch flag &amp; Life-Cycle Factor'!$I$23, IF(AND($E53&gt;='Launch flag &amp; Life-Cycle Factor'!$F$22, $E53&lt;='Launch flag &amp; Life-Cycle Factor'!$E$22),'Launch flag &amp; Life-Cycle Factor'!$I$22, IF(AND($E53&gt;='Launch flag &amp; Life-Cycle Factor'!$F$21, $E53&lt;='Launch flag &amp; Life-Cycle Factor'!$E$21),'Launch flag &amp; Life-Cycle Factor'!$I$21, IF(AND($E53&gt;='Launch flag &amp; Life-Cycle Factor'!$F$20, $E53&lt;='Launch flag &amp; Life-Cycle Factor'!$E$20),'Launch flag &amp; Life-Cycle Factor'!$I$20, IF(AND($E53&gt;='Launch flag &amp; Life-Cycle Factor'!$F$19, $E53&lt;='Launch flag &amp; Life-Cycle Factor'!$E$19),'Launch flag &amp; Life-Cycle Factor'!$I$19, IF(AND($E53&gt;='Launch flag &amp; Life-Cycle Factor'!$F$18, $E53&lt;='Launch flag &amp; Life-Cycle Factor'!$E$18),'Launch flag &amp; Life-Cycle Factor'!$I$18, IF(AND($E53&gt;='Launch flag &amp; Life-Cycle Factor'!$F$17, $E53&lt;='Launch flag &amp; Life-Cycle Factor'!$E$17),'Launch flag &amp; Life-Cycle Factor'!$I$17, IF(AND($E53&gt;='Launch flag &amp; Life-Cycle Factor'!$F$16, $E53&lt;='Launch flag &amp; Life-Cycle Factor'!$E$16),'Launch flag &amp; Life-Cycle Factor'!$I$16,IF(AND($E53&gt;='Launch flag &amp; Life-Cycle Factor'!$F$15, $E53&lt;='Launch flag &amp; Life-Cycle Factor'!$E$15),'Launch flag &amp; Life-Cycle Factor'!$I$15, IF(AND($E53&gt;='Launch flag &amp; Life-Cycle Factor'!$F$14, $E53&lt;='Launch flag &amp; Life-Cycle Factor'!$E$14),'Launch flag &amp; Life-Cycle Factor'!$I$14,IF(AND($E53&gt;='Launch flag &amp; Life-Cycle Factor'!$F$13, $E53&lt;='Launch flag &amp; Life-Cycle Factor'!$E$13),'Launch flag &amp; Life-Cycle Factor'!$I$13, IF(AND($E53&gt;='Launch flag &amp; Life-Cycle Factor'!$F$12, $E53&lt;='Launch flag &amp; Life-Cycle Factor'!$E$12),'Launch flag &amp; Life-Cycle Factor'!$I$12, IF(AND($E53&gt;='Launch flag &amp; Life-Cycle Factor'!$F$11, $E53&lt;='Launch flag &amp; Life-Cycle Factor'!$E$11),'Launch flag &amp; Life-Cycle Factor'!$I$11, IF(AND($E53&gt;='Launch flag &amp; Life-Cycle Factor'!$F$10, $E53&lt;='Launch flag &amp; Life-Cycle Factor'!$E$10),'Launch flag &amp; Life-Cycle Factor'!$I$10, IF(AND($E53&gt;='Launch flag &amp; Life-Cycle Factor'!$F$9, $E53&lt;='Launch flag &amp; Life-Cycle Factor'!$E$9),'Launch flag &amp; Life-Cycle Factor'!$I$9, IF(AND($E53&gt;='Launch flag &amp; Life-Cycle Factor'!$F$8, $E53&lt;='Launch flag &amp; Life-Cycle Factor'!$E$8),'Launch flag &amp; Life-Cycle Factor'!$I$8, IF(AND($E53&gt;='Launch flag &amp; Life-Cycle Factor'!$F$7, $E53&lt;='Launch flag &amp; Life-Cycle Factor'!$E$7),'Launch flag &amp; Life-Cycle Factor'!$I$7, IF(AND($E53&gt;='Launch flag &amp; Life-Cycle Factor'!$F$6, $E53&lt;='Launch flag &amp; Life-Cycle Factor'!$E$6),'Launch flag &amp; Life-Cycle Factor'!$I$6, "-")))))))))))))))))))</f>
        <v>0.35</v>
      </c>
      <c r="R53" s="662">
        <f t="shared" si="0"/>
        <v>214.7198885</v>
      </c>
      <c r="S53" s="663">
        <f t="shared" si="1"/>
        <v>113.64724035</v>
      </c>
      <c r="T53" s="242">
        <f t="shared" si="2"/>
        <v>214.7198885</v>
      </c>
      <c r="U53" s="243">
        <f t="shared" si="3"/>
        <v>113.64724035</v>
      </c>
      <c r="V53" s="837">
        <f t="shared" si="4"/>
        <v>328.36712884999997</v>
      </c>
      <c r="W53" s="838">
        <f t="shared" si="5"/>
        <v>328.36712884999997</v>
      </c>
      <c r="X53" s="672"/>
    </row>
    <row r="54" spans="2:24" x14ac:dyDescent="0.35">
      <c r="B54" s="613" t="s">
        <v>469</v>
      </c>
      <c r="C54" s="614" t="s">
        <v>278</v>
      </c>
      <c r="D54" s="615" t="str">
        <f>IF(AND($E54&gt;='Launch flag &amp; Life-Cycle Factor'!$F$24, $E54&lt;='Launch flag &amp; Life-Cycle Factor'!$E$24),'Launch flag &amp; Life-Cycle Factor'!$B$24, IF(AND($E54&gt;='Launch flag &amp; Life-Cycle Factor'!$F$23, $E54&lt;='Launch flag &amp; Life-Cycle Factor'!$E$23),'Launch flag &amp; Life-Cycle Factor'!$B$23, IF(AND($E54&gt;='Launch flag &amp; Life-Cycle Factor'!$F$22, $E54&lt;='Launch flag &amp; Life-Cycle Factor'!$E$22),'Launch flag &amp; Life-Cycle Factor'!$B$22, IF(AND($E54&gt;='Launch flag &amp; Life-Cycle Factor'!$F$21, $E54&lt;='Launch flag &amp; Life-Cycle Factor'!$E$21),'Launch flag &amp; Life-Cycle Factor'!$B$21, IF(AND($E54&gt;='Launch flag &amp; Life-Cycle Factor'!$F$20, $E54&lt;='Launch flag &amp; Life-Cycle Factor'!$E$20),'Launch flag &amp; Life-Cycle Factor'!$B$20, IF(AND($E54&gt;='Launch flag &amp; Life-Cycle Factor'!$F$19, $E54&lt;='Launch flag &amp; Life-Cycle Factor'!$E$19),'Launch flag &amp; Life-Cycle Factor'!$B$19, IF(AND($E54&gt;='Launch flag &amp; Life-Cycle Factor'!$F$18, $E54&lt;='Launch flag &amp; Life-Cycle Factor'!$E$18),'Launch flag &amp; Life-Cycle Factor'!$B$18, IF(AND($E54&gt;='Launch flag &amp; Life-Cycle Factor'!$F$17, $E54&lt;='Launch flag &amp; Life-Cycle Factor'!$E$17),'Launch flag &amp; Life-Cycle Factor'!$B$17, IF(AND($E54&gt;='Launch flag &amp; Life-Cycle Factor'!$F$16, $E54&lt;='Launch flag &amp; Life-Cycle Factor'!$E$16),'Launch flag &amp; Life-Cycle Factor'!$B$16,IF(AND($E54&gt;='Launch flag &amp; Life-Cycle Factor'!$F$15, $E54&lt;='Launch flag &amp; Life-Cycle Factor'!$E$15),'Launch flag &amp; Life-Cycle Factor'!$B$15, IF(AND($E54&gt;='Launch flag &amp; Life-Cycle Factor'!$F$14, $E54&lt;='Launch flag &amp; Life-Cycle Factor'!$E$14),'Launch flag &amp; Life-Cycle Factor'!$B$14,IF(AND($E54&gt;='Launch flag &amp; Life-Cycle Factor'!$F$13, $E54&lt;='Launch flag &amp; Life-Cycle Factor'!$E$13),'Launch flag &amp; Life-Cycle Factor'!$B$13, IF(AND($E54&gt;='Launch flag &amp; Life-Cycle Factor'!$F$12, $E54&lt;='Launch flag &amp; Life-Cycle Factor'!$E$12),'Launch flag &amp; Life-Cycle Factor'!$B$12, IF(AND($E54&gt;='Launch flag &amp; Life-Cycle Factor'!$F$11, $E54&lt;='Launch flag &amp; Life-Cycle Factor'!$E$11),'Launch flag &amp; Life-Cycle Factor'!$B$11, IF(AND($E54&gt;='Launch flag &amp; Life-Cycle Factor'!$F$10, $E54&lt;='Launch flag &amp; Life-Cycle Factor'!$E$10),'Launch flag &amp; Life-Cycle Factor'!$B$10, IF(AND($E54&gt;='Launch flag &amp; Life-Cycle Factor'!$F$9, $E54&lt;='Launch flag &amp; Life-Cycle Factor'!$E$9),'Launch flag &amp; Life-Cycle Factor'!$B$9, IF(AND($E54&gt;='Launch flag &amp; Life-Cycle Factor'!$F$8, $E54&lt;='Launch flag &amp; Life-Cycle Factor'!$E$8),'Launch flag &amp; Life-Cycle Factor'!$B$8, IF(AND($E54&gt;='Launch flag &amp; Life-Cycle Factor'!$F$7, $E54&lt;='Launch flag &amp; Life-Cycle Factor'!$E$7),'Launch flag &amp; Life-Cycle Factor'!$B$7, IF(AND($E54&gt;='Launch flag &amp; Life-Cycle Factor'!$F$6, $E54&lt;='Launch flag &amp; Life-Cycle Factor'!$E$6),'Launch flag &amp; Life-Cycle Factor'!$B$6, "-")))))))))))))))))))</f>
        <v>Planning Year</v>
      </c>
      <c r="E54" s="616">
        <f>INDEX('NPS with launch Dates '!$J$6:$J$59,MATCH('2.  Sales Data Key &amp; Key-Lyn'!$C54,'NPS with launch Dates '!$I$6:$I$59,0))</f>
        <v>45658</v>
      </c>
      <c r="F54" s="617">
        <f>INDEX('Raw Sales Forecasting Data'!$D$11:$H$126,MATCH('2.  Sales Data Key &amp; Key-Lyn'!$C54,'Raw Sales Forecasting Data'!$C$11:$C$126,0),MATCH('2.  Sales Data Key &amp; Key-Lyn'!F$6,'Raw Sales Forecasting Data'!$D$10:$H$10,0))</f>
        <v>0</v>
      </c>
      <c r="G54" s="618">
        <f>INDEX('Raw Sales Forecasting Data'!$D$11:$H$126,MATCH('2.  Sales Data Key &amp; Key-Lyn'!$C54,'Raw Sales Forecasting Data'!$C$11:$C$126,0),MATCH('2.  Sales Data Key &amp; Key-Lyn'!G$6,'Raw Sales Forecasting Data'!$D$10:$H$10,0))</f>
        <v>0.17630747865854599</v>
      </c>
      <c r="H54" s="618">
        <f>INDEX('Raw Sales Forecasting Data'!$D$11:$H$126,MATCH('2.  Sales Data Key &amp; Key-Lyn'!$C54,'Raw Sales Forecasting Data'!$C$11:$C$126,0),MATCH('2.  Sales Data Key &amp; Key-Lyn'!H$6,'Raw Sales Forecasting Data'!$D$10:$H$10,0))</f>
        <v>99.659934243841249</v>
      </c>
      <c r="I54" s="618">
        <f>INDEX('Raw Sales Forecasting Data'!$D$11:$H$126,MATCH('2.  Sales Data Key &amp; Key-Lyn'!$C54,'Raw Sales Forecasting Data'!$C$11:$C$126,0),MATCH('2.  Sales Data Key &amp; Key-Lyn'!I$6,'Raw Sales Forecasting Data'!$D$10:$H$10,0))</f>
        <v>359.55856062877666</v>
      </c>
      <c r="J54" s="619">
        <f>INDEX('Raw Sales Forecasting Data'!$D$11:$H$126,MATCH('2.  Sales Data Key &amp; Key-Lyn'!$C54,'Raw Sales Forecasting Data'!$C$11:$C$126,0),MATCH('2.  Sales Data Key &amp; Key-Lyn'!J$6,'Raw Sales Forecasting Data'!$D$10:$H$10,0))</f>
        <v>459.63094689415669</v>
      </c>
      <c r="K54" s="620">
        <f>INDEX('Raw Sales Forecasting Data'!$J$11:$N$126,MATCH('2.  Sales Data Key &amp; Key-Lyn'!$C54,'Raw Sales Forecasting Data'!$C$11:$C$126,0),MATCH('2.  Sales Data Key &amp; Key-Lyn'!K$6,'Raw Sales Forecasting Data'!$J$10:$N$10,0))</f>
        <v>0</v>
      </c>
      <c r="L54" s="618">
        <f>INDEX('Raw Sales Forecasting Data'!$J$11:$N$126,MATCH('2.  Sales Data Key &amp; Key-Lyn'!$C54,'Raw Sales Forecasting Data'!$C$11:$C$126,0),MATCH('2.  Sales Data Key &amp; Key-Lyn'!L$6,'Raw Sales Forecasting Data'!$J$10:$N$10,0))</f>
        <v>0.17630747865854599</v>
      </c>
      <c r="M54" s="618">
        <f>INDEX('Raw Sales Forecasting Data'!$J$11:$N$126,MATCH('2.  Sales Data Key &amp; Key-Lyn'!$C54,'Raw Sales Forecasting Data'!$C$11:$C$126,0),MATCH('2.  Sales Data Key &amp; Key-Lyn'!M$6,'Raw Sales Forecasting Data'!$J$10:$N$10,0))</f>
        <v>95.759934243841258</v>
      </c>
      <c r="N54" s="618">
        <f>INDEX('Raw Sales Forecasting Data'!$J$11:$N$126,MATCH('2.  Sales Data Key &amp; Key-Lyn'!$C54,'Raw Sales Forecasting Data'!$C$11:$C$126,0),MATCH('2.  Sales Data Key &amp; Key-Lyn'!N$6,'Raw Sales Forecasting Data'!$J$10:$N$10,0))</f>
        <v>322.40856062877663</v>
      </c>
      <c r="O54" s="621">
        <f>INDEX('Raw Sales Forecasting Data'!$J$11:$N$126,MATCH('2.  Sales Data Key &amp; Key-Lyn'!$C54,'Raw Sales Forecasting Data'!$C$11:$C$126,0),MATCH('2.  Sales Data Key &amp; Key-Lyn'!O$6,'Raw Sales Forecasting Data'!$J$10:$N$10,0))</f>
        <v>413.21894689415666</v>
      </c>
      <c r="P54" s="657">
        <f>IF(AND($E54&gt;='Launch flag &amp; Life-Cycle Factor'!$F$24, $E54&lt;='Launch flag &amp; Life-Cycle Factor'!$E$24),'Launch flag &amp; Life-Cycle Factor'!$H$24, IF(AND($E54&gt;='Launch flag &amp; Life-Cycle Factor'!$F$23, $E54&lt;='Launch flag &amp; Life-Cycle Factor'!$E$23),'Launch flag &amp; Life-Cycle Factor'!$H$23, IF(AND($E54&gt;='Launch flag &amp; Life-Cycle Factor'!$F$22, $E54&lt;='Launch flag &amp; Life-Cycle Factor'!$E$22),'Launch flag &amp; Life-Cycle Factor'!$H$22, IF(AND($E54&gt;='Launch flag &amp; Life-Cycle Factor'!$F$21, $E54&lt;='Launch flag &amp; Life-Cycle Factor'!$E$21),'Launch flag &amp; Life-Cycle Factor'!$H$21, IF(AND($E54&gt;='Launch flag &amp; Life-Cycle Factor'!$F$20, $E54&lt;='Launch flag &amp; Life-Cycle Factor'!$E$20),'Launch flag &amp; Life-Cycle Factor'!$H$20, IF(AND($E54&gt;='Launch flag &amp; Life-Cycle Factor'!$F$19, $E54&lt;='Launch flag &amp; Life-Cycle Factor'!$E$19),'Launch flag &amp; Life-Cycle Factor'!$H$19, IF(AND($E54&gt;='Launch flag &amp; Life-Cycle Factor'!$F$18, $E54&lt;='Launch flag &amp; Life-Cycle Factor'!$E$18),'Launch flag &amp; Life-Cycle Factor'!$H$18, IF(AND($E54&gt;='Launch flag &amp; Life-Cycle Factor'!$F$17, $E54&lt;='Launch flag &amp; Life-Cycle Factor'!$E$17),'Launch flag &amp; Life-Cycle Factor'!$H$17, IF(AND($E54&gt;='Launch flag &amp; Life-Cycle Factor'!$F$16, $E54&lt;='Launch flag &amp; Life-Cycle Factor'!$E$16),'Launch flag &amp; Life-Cycle Factor'!$H$16,IF(AND($E54&gt;='Launch flag &amp; Life-Cycle Factor'!$F$15, $E54&lt;='Launch flag &amp; Life-Cycle Factor'!$E$15),'Launch flag &amp; Life-Cycle Factor'!$H$15, IF(AND($E54&gt;='Launch flag &amp; Life-Cycle Factor'!$F$14, $E54&lt;='Launch flag &amp; Life-Cycle Factor'!$E$14),'Launch flag &amp; Life-Cycle Factor'!$H$14,IF(AND($E54&gt;='Launch flag &amp; Life-Cycle Factor'!$F$13, $E54&lt;='Launch flag &amp; Life-Cycle Factor'!$E$13),'Launch flag &amp; Life-Cycle Factor'!$H$13, IF(AND($E54&gt;='Launch flag &amp; Life-Cycle Factor'!$F$12, $E54&lt;='Launch flag &amp; Life-Cycle Factor'!$E$12),'Launch flag &amp; Life-Cycle Factor'!$H$12, IF(AND($E54&gt;='Launch flag &amp; Life-Cycle Factor'!$F$11, $E54&lt;='Launch flag &amp; Life-Cycle Factor'!$E$11),'Launch flag &amp; Life-Cycle Factor'!$H$11, IF(AND($E54&gt;='Launch flag &amp; Life-Cycle Factor'!$F$10, $E54&lt;='Launch flag &amp; Life-Cycle Factor'!$E$10),'Launch flag &amp; Life-Cycle Factor'!$H$10, IF(AND($E54&gt;='Launch flag &amp; Life-Cycle Factor'!$F$9, $E54&lt;='Launch flag &amp; Life-Cycle Factor'!$E$9),'Launch flag &amp; Life-Cycle Factor'!$H$9, IF(AND($E54&gt;='Launch flag &amp; Life-Cycle Factor'!$F$8, $E54&lt;='Launch flag &amp; Life-Cycle Factor'!$E$8),'Launch flag &amp; Life-Cycle Factor'!$H$8, IF(AND($E54&gt;='Launch flag &amp; Life-Cycle Factor'!$F$7, $E54&lt;='Launch flag &amp; Life-Cycle Factor'!$E$7),'Launch flag &amp; Life-Cycle Factor'!$H$7, IF(AND($E54&gt;='Launch flag &amp; Life-Cycle Factor'!$F$6, $E54&lt;='Launch flag &amp; Life-Cycle Factor'!$E$6),'Launch flag &amp; Life-Cycle Factor'!$H$6, "-")))))))))))))))))))</f>
        <v>0</v>
      </c>
      <c r="Q54" s="658">
        <f>IF(AND($E54&gt;='Launch flag &amp; Life-Cycle Factor'!$F$24, $E54&lt;='Launch flag &amp; Life-Cycle Factor'!$E$24),'Launch flag &amp; Life-Cycle Factor'!$I$24, IF(AND($E54&gt;='Launch flag &amp; Life-Cycle Factor'!$F$23, $E54&lt;='Launch flag &amp; Life-Cycle Factor'!$E$23),'Launch flag &amp; Life-Cycle Factor'!$I$23, IF(AND($E54&gt;='Launch flag &amp; Life-Cycle Factor'!$F$22, $E54&lt;='Launch flag &amp; Life-Cycle Factor'!$E$22),'Launch flag &amp; Life-Cycle Factor'!$I$22, IF(AND($E54&gt;='Launch flag &amp; Life-Cycle Factor'!$F$21, $E54&lt;='Launch flag &amp; Life-Cycle Factor'!$E$21),'Launch flag &amp; Life-Cycle Factor'!$I$21, IF(AND($E54&gt;='Launch flag &amp; Life-Cycle Factor'!$F$20, $E54&lt;='Launch flag &amp; Life-Cycle Factor'!$E$20),'Launch flag &amp; Life-Cycle Factor'!$I$20, IF(AND($E54&gt;='Launch flag &amp; Life-Cycle Factor'!$F$19, $E54&lt;='Launch flag &amp; Life-Cycle Factor'!$E$19),'Launch flag &amp; Life-Cycle Factor'!$I$19, IF(AND($E54&gt;='Launch flag &amp; Life-Cycle Factor'!$F$18, $E54&lt;='Launch flag &amp; Life-Cycle Factor'!$E$18),'Launch flag &amp; Life-Cycle Factor'!$I$18, IF(AND($E54&gt;='Launch flag &amp; Life-Cycle Factor'!$F$17, $E54&lt;='Launch flag &amp; Life-Cycle Factor'!$E$17),'Launch flag &amp; Life-Cycle Factor'!$I$17, IF(AND($E54&gt;='Launch flag &amp; Life-Cycle Factor'!$F$16, $E54&lt;='Launch flag &amp; Life-Cycle Factor'!$E$16),'Launch flag &amp; Life-Cycle Factor'!$I$16,IF(AND($E54&gt;='Launch flag &amp; Life-Cycle Factor'!$F$15, $E54&lt;='Launch flag &amp; Life-Cycle Factor'!$E$15),'Launch flag &amp; Life-Cycle Factor'!$I$15, IF(AND($E54&gt;='Launch flag &amp; Life-Cycle Factor'!$F$14, $E54&lt;='Launch flag &amp; Life-Cycle Factor'!$E$14),'Launch flag &amp; Life-Cycle Factor'!$I$14,IF(AND($E54&gt;='Launch flag &amp; Life-Cycle Factor'!$F$13, $E54&lt;='Launch flag &amp; Life-Cycle Factor'!$E$13),'Launch flag &amp; Life-Cycle Factor'!$I$13, IF(AND($E54&gt;='Launch flag &amp; Life-Cycle Factor'!$F$12, $E54&lt;='Launch flag &amp; Life-Cycle Factor'!$E$12),'Launch flag &amp; Life-Cycle Factor'!$I$12, IF(AND($E54&gt;='Launch flag &amp; Life-Cycle Factor'!$F$11, $E54&lt;='Launch flag &amp; Life-Cycle Factor'!$E$11),'Launch flag &amp; Life-Cycle Factor'!$I$11, IF(AND($E54&gt;='Launch flag &amp; Life-Cycle Factor'!$F$10, $E54&lt;='Launch flag &amp; Life-Cycle Factor'!$E$10),'Launch flag &amp; Life-Cycle Factor'!$I$10, IF(AND($E54&gt;='Launch flag &amp; Life-Cycle Factor'!$F$9, $E54&lt;='Launch flag &amp; Life-Cycle Factor'!$E$9),'Launch flag &amp; Life-Cycle Factor'!$I$9, IF(AND($E54&gt;='Launch flag &amp; Life-Cycle Factor'!$F$8, $E54&lt;='Launch flag &amp; Life-Cycle Factor'!$E$8),'Launch flag &amp; Life-Cycle Factor'!$I$8, IF(AND($E54&gt;='Launch flag &amp; Life-Cycle Factor'!$F$7, $E54&lt;='Launch flag &amp; Life-Cycle Factor'!$E$7),'Launch flag &amp; Life-Cycle Factor'!$I$7, IF(AND($E54&gt;='Launch flag &amp; Life-Cycle Factor'!$F$6, $E54&lt;='Launch flag &amp; Life-Cycle Factor'!$E$6),'Launch flag &amp; Life-Cycle Factor'!$I$6, "-")))))))))))))))))))</f>
        <v>1</v>
      </c>
      <c r="R54" s="666">
        <f t="shared" si="0"/>
        <v>0</v>
      </c>
      <c r="S54" s="667">
        <f t="shared" si="1"/>
        <v>99.659934243841249</v>
      </c>
      <c r="T54" s="671">
        <f t="shared" si="2"/>
        <v>0</v>
      </c>
      <c r="U54" s="653">
        <f t="shared" si="3"/>
        <v>95.759934243841258</v>
      </c>
      <c r="V54" s="841">
        <f t="shared" si="4"/>
        <v>99.659934243841249</v>
      </c>
      <c r="W54" s="842">
        <f t="shared" si="5"/>
        <v>95.759934243841258</v>
      </c>
      <c r="X54" s="672"/>
    </row>
    <row r="55" spans="2:24" x14ac:dyDescent="0.35">
      <c r="B55" s="186" t="s">
        <v>43</v>
      </c>
      <c r="C55" s="192" t="s">
        <v>351</v>
      </c>
      <c r="D55" s="206" t="str">
        <f>IF(AND($E55&gt;='Launch flag &amp; Life-Cycle Factor'!$F$24, $E55&lt;='Launch flag &amp; Life-Cycle Factor'!$E$24),'Launch flag &amp; Life-Cycle Factor'!$B$24, IF(AND($E55&gt;='Launch flag &amp; Life-Cycle Factor'!$F$23, $E55&lt;='Launch flag &amp; Life-Cycle Factor'!$E$23),'Launch flag &amp; Life-Cycle Factor'!$B$23, IF(AND($E55&gt;='Launch flag &amp; Life-Cycle Factor'!$F$22, $E55&lt;='Launch flag &amp; Life-Cycle Factor'!$E$22),'Launch flag &amp; Life-Cycle Factor'!$B$22, IF(AND($E55&gt;='Launch flag &amp; Life-Cycle Factor'!$F$21, $E55&lt;='Launch flag &amp; Life-Cycle Factor'!$E$21),'Launch flag &amp; Life-Cycle Factor'!$B$21, IF(AND($E55&gt;='Launch flag &amp; Life-Cycle Factor'!$F$20, $E55&lt;='Launch flag &amp; Life-Cycle Factor'!$E$20),'Launch flag &amp; Life-Cycle Factor'!$B$20, IF(AND($E55&gt;='Launch flag &amp; Life-Cycle Factor'!$F$19, $E55&lt;='Launch flag &amp; Life-Cycle Factor'!$E$19),'Launch flag &amp; Life-Cycle Factor'!$B$19, IF(AND($E55&gt;='Launch flag &amp; Life-Cycle Factor'!$F$18, $E55&lt;='Launch flag &amp; Life-Cycle Factor'!$E$18),'Launch flag &amp; Life-Cycle Factor'!$B$18, IF(AND($E55&gt;='Launch flag &amp; Life-Cycle Factor'!$F$17, $E55&lt;='Launch flag &amp; Life-Cycle Factor'!$E$17),'Launch flag &amp; Life-Cycle Factor'!$B$17, IF(AND($E55&gt;='Launch flag &amp; Life-Cycle Factor'!$F$16, $E55&lt;='Launch flag &amp; Life-Cycle Factor'!$E$16),'Launch flag &amp; Life-Cycle Factor'!$B$16,IF(AND($E55&gt;='Launch flag &amp; Life-Cycle Factor'!$F$15, $E55&lt;='Launch flag &amp; Life-Cycle Factor'!$E$15),'Launch flag &amp; Life-Cycle Factor'!$B$15, IF(AND($E55&gt;='Launch flag &amp; Life-Cycle Factor'!$F$14, $E55&lt;='Launch flag &amp; Life-Cycle Factor'!$E$14),'Launch flag &amp; Life-Cycle Factor'!$B$14,IF(AND($E55&gt;='Launch flag &amp; Life-Cycle Factor'!$F$13, $E55&lt;='Launch flag &amp; Life-Cycle Factor'!$E$13),'Launch flag &amp; Life-Cycle Factor'!$B$13, IF(AND($E55&gt;='Launch flag &amp; Life-Cycle Factor'!$F$12, $E55&lt;='Launch flag &amp; Life-Cycle Factor'!$E$12),'Launch flag &amp; Life-Cycle Factor'!$B$12, IF(AND($E55&gt;='Launch flag &amp; Life-Cycle Factor'!$F$11, $E55&lt;='Launch flag &amp; Life-Cycle Factor'!$E$11),'Launch flag &amp; Life-Cycle Factor'!$B$11, IF(AND($E55&gt;='Launch flag &amp; Life-Cycle Factor'!$F$10, $E55&lt;='Launch flag &amp; Life-Cycle Factor'!$E$10),'Launch flag &amp; Life-Cycle Factor'!$B$10, IF(AND($E55&gt;='Launch flag &amp; Life-Cycle Factor'!$F$9, $E55&lt;='Launch flag &amp; Life-Cycle Factor'!$E$9),'Launch flag &amp; Life-Cycle Factor'!$B$9, IF(AND($E55&gt;='Launch flag &amp; Life-Cycle Factor'!$F$8, $E55&lt;='Launch flag &amp; Life-Cycle Factor'!$E$8),'Launch flag &amp; Life-Cycle Factor'!$B$8, IF(AND($E55&gt;='Launch flag &amp; Life-Cycle Factor'!$F$7, $E55&lt;='Launch flag &amp; Life-Cycle Factor'!$E$7),'Launch flag &amp; Life-Cycle Factor'!$B$7, IF(AND($E55&gt;='Launch flag &amp; Life-Cycle Factor'!$F$6, $E55&lt;='Launch flag &amp; Life-Cycle Factor'!$E$6),'Launch flag &amp; Life-Cycle Factor'!$B$6, "-")))))))))))))))))))</f>
        <v>Established</v>
      </c>
      <c r="E55" s="219">
        <f>INDEX('NPS with launch Dates '!$J$6:$J$59,MATCH('2.  Sales Data Key &amp; Key-Lyn'!$C55,'NPS with launch Dates '!$I$6:$I$59,0))</f>
        <v>44409</v>
      </c>
      <c r="F55" s="197">
        <f>INDEX('Raw Sales Forecasting Data'!$D$11:$H$126,MATCH('2.  Sales Data Key &amp; Key-Lyn'!$C55,'Raw Sales Forecasting Data'!$C$11:$C$126,0),MATCH('2.  Sales Data Key &amp; Key-Lyn'!F$6,'Raw Sales Forecasting Data'!$D$10:$H$10,0))</f>
        <v>399.43486983674376</v>
      </c>
      <c r="G55" s="198">
        <f>INDEX('Raw Sales Forecasting Data'!$D$11:$H$126,MATCH('2.  Sales Data Key &amp; Key-Lyn'!$C55,'Raw Sales Forecasting Data'!$C$11:$C$126,0),MATCH('2.  Sales Data Key &amp; Key-Lyn'!G$6,'Raw Sales Forecasting Data'!$D$10:$H$10,0))</f>
        <v>473.33828298908827</v>
      </c>
      <c r="H55" s="198">
        <f>INDEX('Raw Sales Forecasting Data'!$D$11:$H$126,MATCH('2.  Sales Data Key &amp; Key-Lyn'!$C55,'Raw Sales Forecasting Data'!$C$11:$C$126,0),MATCH('2.  Sales Data Key &amp; Key-Lyn'!H$6,'Raw Sales Forecasting Data'!$D$10:$H$10,0))</f>
        <v>523.1536315183082</v>
      </c>
      <c r="I55" s="198">
        <f>INDEX('Raw Sales Forecasting Data'!$D$11:$H$126,MATCH('2.  Sales Data Key &amp; Key-Lyn'!$C55,'Raw Sales Forecasting Data'!$C$11:$C$126,0),MATCH('2.  Sales Data Key &amp; Key-Lyn'!I$6,'Raw Sales Forecasting Data'!$D$10:$H$10,0))</f>
        <v>558.29335685956687</v>
      </c>
      <c r="J55" s="199">
        <f>INDEX('Raw Sales Forecasting Data'!$D$11:$H$126,MATCH('2.  Sales Data Key &amp; Key-Lyn'!$C55,'Raw Sales Forecasting Data'!$C$11:$C$126,0),MATCH('2.  Sales Data Key &amp; Key-Lyn'!J$6,'Raw Sales Forecasting Data'!$D$10:$H$10,0))</f>
        <v>591.64859531634397</v>
      </c>
      <c r="K55" s="203">
        <f>INDEX('Raw Sales Forecasting Data'!$J$11:$N$126,MATCH('2.  Sales Data Key &amp; Key-Lyn'!$C55,'Raw Sales Forecasting Data'!$C$11:$C$126,0),MATCH('2.  Sales Data Key &amp; Key-Lyn'!K$6,'Raw Sales Forecasting Data'!$J$10:$N$10,0))</f>
        <v>399.43486983674376</v>
      </c>
      <c r="L55" s="198">
        <f>INDEX('Raw Sales Forecasting Data'!$J$11:$N$126,MATCH('2.  Sales Data Key &amp; Key-Lyn'!$C55,'Raw Sales Forecasting Data'!$C$11:$C$126,0),MATCH('2.  Sales Data Key &amp; Key-Lyn'!L$6,'Raw Sales Forecasting Data'!$J$10:$N$10,0))</f>
        <v>473.33828298908827</v>
      </c>
      <c r="M55" s="198">
        <f>INDEX('Raw Sales Forecasting Data'!$J$11:$N$126,MATCH('2.  Sales Data Key &amp; Key-Lyn'!$C55,'Raw Sales Forecasting Data'!$C$11:$C$126,0),MATCH('2.  Sales Data Key &amp; Key-Lyn'!M$6,'Raw Sales Forecasting Data'!$J$10:$N$10,0))</f>
        <v>523.1536315183082</v>
      </c>
      <c r="N55" s="198">
        <f>INDEX('Raw Sales Forecasting Data'!$J$11:$N$126,MATCH('2.  Sales Data Key &amp; Key-Lyn'!$C55,'Raw Sales Forecasting Data'!$C$11:$C$126,0),MATCH('2.  Sales Data Key &amp; Key-Lyn'!N$6,'Raw Sales Forecasting Data'!$J$10:$N$10,0))</f>
        <v>558.29335685956687</v>
      </c>
      <c r="O55" s="238">
        <f>INDEX('Raw Sales Forecasting Data'!$J$11:$N$126,MATCH('2.  Sales Data Key &amp; Key-Lyn'!$C55,'Raw Sales Forecasting Data'!$C$11:$C$126,0),MATCH('2.  Sales Data Key &amp; Key-Lyn'!O$6,'Raw Sales Forecasting Data'!$J$10:$N$10,0))</f>
        <v>591.64859531634397</v>
      </c>
      <c r="P55" s="240">
        <f>IF(AND($E55&gt;='Launch flag &amp; Life-Cycle Factor'!$F$24, $E55&lt;='Launch flag &amp; Life-Cycle Factor'!$E$24),'Launch flag &amp; Life-Cycle Factor'!$H$24, IF(AND($E55&gt;='Launch flag &amp; Life-Cycle Factor'!$F$23, $E55&lt;='Launch flag &amp; Life-Cycle Factor'!$E$23),'Launch flag &amp; Life-Cycle Factor'!$H$23, IF(AND($E55&gt;='Launch flag &amp; Life-Cycle Factor'!$F$22, $E55&lt;='Launch flag &amp; Life-Cycle Factor'!$E$22),'Launch flag &amp; Life-Cycle Factor'!$H$22, IF(AND($E55&gt;='Launch flag &amp; Life-Cycle Factor'!$F$21, $E55&lt;='Launch flag &amp; Life-Cycle Factor'!$E$21),'Launch flag &amp; Life-Cycle Factor'!$H$21, IF(AND($E55&gt;='Launch flag &amp; Life-Cycle Factor'!$F$20, $E55&lt;='Launch flag &amp; Life-Cycle Factor'!$E$20),'Launch flag &amp; Life-Cycle Factor'!$H$20, IF(AND($E55&gt;='Launch flag &amp; Life-Cycle Factor'!$F$19, $E55&lt;='Launch flag &amp; Life-Cycle Factor'!$E$19),'Launch flag &amp; Life-Cycle Factor'!$H$19, IF(AND($E55&gt;='Launch flag &amp; Life-Cycle Factor'!$F$18, $E55&lt;='Launch flag &amp; Life-Cycle Factor'!$E$18),'Launch flag &amp; Life-Cycle Factor'!$H$18, IF(AND($E55&gt;='Launch flag &amp; Life-Cycle Factor'!$F$17, $E55&lt;='Launch flag &amp; Life-Cycle Factor'!$E$17),'Launch flag &amp; Life-Cycle Factor'!$H$17, IF(AND($E55&gt;='Launch flag &amp; Life-Cycle Factor'!$F$16, $E55&lt;='Launch flag &amp; Life-Cycle Factor'!$E$16),'Launch flag &amp; Life-Cycle Factor'!$H$16,IF(AND($E55&gt;='Launch flag &amp; Life-Cycle Factor'!$F$15, $E55&lt;='Launch flag &amp; Life-Cycle Factor'!$E$15),'Launch flag &amp; Life-Cycle Factor'!$H$15, IF(AND($E55&gt;='Launch flag &amp; Life-Cycle Factor'!$F$14, $E55&lt;='Launch flag &amp; Life-Cycle Factor'!$E$14),'Launch flag &amp; Life-Cycle Factor'!$H$14,IF(AND($E55&gt;='Launch flag &amp; Life-Cycle Factor'!$F$13, $E55&lt;='Launch flag &amp; Life-Cycle Factor'!$E$13),'Launch flag &amp; Life-Cycle Factor'!$H$13, IF(AND($E55&gt;='Launch flag &amp; Life-Cycle Factor'!$F$12, $E55&lt;='Launch flag &amp; Life-Cycle Factor'!$E$12),'Launch flag &amp; Life-Cycle Factor'!$H$12, IF(AND($E55&gt;='Launch flag &amp; Life-Cycle Factor'!$F$11, $E55&lt;='Launch flag &amp; Life-Cycle Factor'!$E$11),'Launch flag &amp; Life-Cycle Factor'!$H$11, IF(AND($E55&gt;='Launch flag &amp; Life-Cycle Factor'!$F$10, $E55&lt;='Launch flag &amp; Life-Cycle Factor'!$E$10),'Launch flag &amp; Life-Cycle Factor'!$H$10, IF(AND($E55&gt;='Launch flag &amp; Life-Cycle Factor'!$F$9, $E55&lt;='Launch flag &amp; Life-Cycle Factor'!$E$9),'Launch flag &amp; Life-Cycle Factor'!$H$9, IF(AND($E55&gt;='Launch flag &amp; Life-Cycle Factor'!$F$8, $E55&lt;='Launch flag &amp; Life-Cycle Factor'!$E$8),'Launch flag &amp; Life-Cycle Factor'!$H$8, IF(AND($E55&gt;='Launch flag &amp; Life-Cycle Factor'!$F$7, $E55&lt;='Launch flag &amp; Life-Cycle Factor'!$E$7),'Launch flag &amp; Life-Cycle Factor'!$H$7, IF(AND($E55&gt;='Launch flag &amp; Life-Cycle Factor'!$F$6, $E55&lt;='Launch flag &amp; Life-Cycle Factor'!$E$6),'Launch flag &amp; Life-Cycle Factor'!$H$6, "-")))))))))))))))))))</f>
        <v>0.65</v>
      </c>
      <c r="Q55" s="655">
        <f>IF(AND($E55&gt;='Launch flag &amp; Life-Cycle Factor'!$F$24, $E55&lt;='Launch flag &amp; Life-Cycle Factor'!$E$24),'Launch flag &amp; Life-Cycle Factor'!$I$24, IF(AND($E55&gt;='Launch flag &amp; Life-Cycle Factor'!$F$23, $E55&lt;='Launch flag &amp; Life-Cycle Factor'!$E$23),'Launch flag &amp; Life-Cycle Factor'!$I$23, IF(AND($E55&gt;='Launch flag &amp; Life-Cycle Factor'!$F$22, $E55&lt;='Launch flag &amp; Life-Cycle Factor'!$E$22),'Launch flag &amp; Life-Cycle Factor'!$I$22, IF(AND($E55&gt;='Launch flag &amp; Life-Cycle Factor'!$F$21, $E55&lt;='Launch flag &amp; Life-Cycle Factor'!$E$21),'Launch flag &amp; Life-Cycle Factor'!$I$21, IF(AND($E55&gt;='Launch flag &amp; Life-Cycle Factor'!$F$20, $E55&lt;='Launch flag &amp; Life-Cycle Factor'!$E$20),'Launch flag &amp; Life-Cycle Factor'!$I$20, IF(AND($E55&gt;='Launch flag &amp; Life-Cycle Factor'!$F$19, $E55&lt;='Launch flag &amp; Life-Cycle Factor'!$E$19),'Launch flag &amp; Life-Cycle Factor'!$I$19, IF(AND($E55&gt;='Launch flag &amp; Life-Cycle Factor'!$F$18, $E55&lt;='Launch flag &amp; Life-Cycle Factor'!$E$18),'Launch flag &amp; Life-Cycle Factor'!$I$18, IF(AND($E55&gt;='Launch flag &amp; Life-Cycle Factor'!$F$17, $E55&lt;='Launch flag &amp; Life-Cycle Factor'!$E$17),'Launch flag &amp; Life-Cycle Factor'!$I$17, IF(AND($E55&gt;='Launch flag &amp; Life-Cycle Factor'!$F$16, $E55&lt;='Launch flag &amp; Life-Cycle Factor'!$E$16),'Launch flag &amp; Life-Cycle Factor'!$I$16,IF(AND($E55&gt;='Launch flag &amp; Life-Cycle Factor'!$F$15, $E55&lt;='Launch flag &amp; Life-Cycle Factor'!$E$15),'Launch flag &amp; Life-Cycle Factor'!$I$15, IF(AND($E55&gt;='Launch flag &amp; Life-Cycle Factor'!$F$14, $E55&lt;='Launch flag &amp; Life-Cycle Factor'!$E$14),'Launch flag &amp; Life-Cycle Factor'!$I$14,IF(AND($E55&gt;='Launch flag &amp; Life-Cycle Factor'!$F$13, $E55&lt;='Launch flag &amp; Life-Cycle Factor'!$E$13),'Launch flag &amp; Life-Cycle Factor'!$I$13, IF(AND($E55&gt;='Launch flag &amp; Life-Cycle Factor'!$F$12, $E55&lt;='Launch flag &amp; Life-Cycle Factor'!$E$12),'Launch flag &amp; Life-Cycle Factor'!$I$12, IF(AND($E55&gt;='Launch flag &amp; Life-Cycle Factor'!$F$11, $E55&lt;='Launch flag &amp; Life-Cycle Factor'!$E$11),'Launch flag &amp; Life-Cycle Factor'!$I$11, IF(AND($E55&gt;='Launch flag &amp; Life-Cycle Factor'!$F$10, $E55&lt;='Launch flag &amp; Life-Cycle Factor'!$E$10),'Launch flag &amp; Life-Cycle Factor'!$I$10, IF(AND($E55&gt;='Launch flag &amp; Life-Cycle Factor'!$F$9, $E55&lt;='Launch flag &amp; Life-Cycle Factor'!$E$9),'Launch flag &amp; Life-Cycle Factor'!$I$9, IF(AND($E55&gt;='Launch flag &amp; Life-Cycle Factor'!$F$8, $E55&lt;='Launch flag &amp; Life-Cycle Factor'!$E$8),'Launch flag &amp; Life-Cycle Factor'!$I$8, IF(AND($E55&gt;='Launch flag &amp; Life-Cycle Factor'!$F$7, $E55&lt;='Launch flag &amp; Life-Cycle Factor'!$E$7),'Launch flag &amp; Life-Cycle Factor'!$I$7, IF(AND($E55&gt;='Launch flag &amp; Life-Cycle Factor'!$F$6, $E55&lt;='Launch flag &amp; Life-Cycle Factor'!$E$6),'Launch flag &amp; Life-Cycle Factor'!$I$6, "-")))))))))))))))))))</f>
        <v>0.35</v>
      </c>
      <c r="R55" s="662">
        <f t="shared" si="0"/>
        <v>307.6698839429074</v>
      </c>
      <c r="S55" s="663">
        <f t="shared" si="1"/>
        <v>183.10377103140786</v>
      </c>
      <c r="T55" s="242">
        <f t="shared" si="2"/>
        <v>307.6698839429074</v>
      </c>
      <c r="U55" s="243">
        <f t="shared" si="3"/>
        <v>183.10377103140786</v>
      </c>
      <c r="V55" s="837">
        <f t="shared" si="4"/>
        <v>490.77365497431526</v>
      </c>
      <c r="W55" s="838">
        <f t="shared" si="5"/>
        <v>490.77365497431526</v>
      </c>
      <c r="X55" s="672"/>
    </row>
    <row r="56" spans="2:24" x14ac:dyDescent="0.35">
      <c r="B56" s="281" t="s">
        <v>43</v>
      </c>
      <c r="C56" s="622" t="s">
        <v>313</v>
      </c>
      <c r="D56" s="623" t="str">
        <f>IF(AND($E56&gt;='Launch flag &amp; Life-Cycle Factor'!$F$24, $E56&lt;='Launch flag &amp; Life-Cycle Factor'!$E$24),'Launch flag &amp; Life-Cycle Factor'!$B$24, IF(AND($E56&gt;='Launch flag &amp; Life-Cycle Factor'!$F$23, $E56&lt;='Launch flag &amp; Life-Cycle Factor'!$E$23),'Launch flag &amp; Life-Cycle Factor'!$B$23, IF(AND($E56&gt;='Launch flag &amp; Life-Cycle Factor'!$F$22, $E56&lt;='Launch flag &amp; Life-Cycle Factor'!$E$22),'Launch flag &amp; Life-Cycle Factor'!$B$22, IF(AND($E56&gt;='Launch flag &amp; Life-Cycle Factor'!$F$21, $E56&lt;='Launch flag &amp; Life-Cycle Factor'!$E$21),'Launch flag &amp; Life-Cycle Factor'!$B$21, IF(AND($E56&gt;='Launch flag &amp; Life-Cycle Factor'!$F$20, $E56&lt;='Launch flag &amp; Life-Cycle Factor'!$E$20),'Launch flag &amp; Life-Cycle Factor'!$B$20, IF(AND($E56&gt;='Launch flag &amp; Life-Cycle Factor'!$F$19, $E56&lt;='Launch flag &amp; Life-Cycle Factor'!$E$19),'Launch flag &amp; Life-Cycle Factor'!$B$19, IF(AND($E56&gt;='Launch flag &amp; Life-Cycle Factor'!$F$18, $E56&lt;='Launch flag &amp; Life-Cycle Factor'!$E$18),'Launch flag &amp; Life-Cycle Factor'!$B$18, IF(AND($E56&gt;='Launch flag &amp; Life-Cycle Factor'!$F$17, $E56&lt;='Launch flag &amp; Life-Cycle Factor'!$E$17),'Launch flag &amp; Life-Cycle Factor'!$B$17, IF(AND($E56&gt;='Launch flag &amp; Life-Cycle Factor'!$F$16, $E56&lt;='Launch flag &amp; Life-Cycle Factor'!$E$16),'Launch flag &amp; Life-Cycle Factor'!$B$16,IF(AND($E56&gt;='Launch flag &amp; Life-Cycle Factor'!$F$15, $E56&lt;='Launch flag &amp; Life-Cycle Factor'!$E$15),'Launch flag &amp; Life-Cycle Factor'!$B$15, IF(AND($E56&gt;='Launch flag &amp; Life-Cycle Factor'!$F$14, $E56&lt;='Launch flag &amp; Life-Cycle Factor'!$E$14),'Launch flag &amp; Life-Cycle Factor'!$B$14,IF(AND($E56&gt;='Launch flag &amp; Life-Cycle Factor'!$F$13, $E56&lt;='Launch flag &amp; Life-Cycle Factor'!$E$13),'Launch flag &amp; Life-Cycle Factor'!$B$13, IF(AND($E56&gt;='Launch flag &amp; Life-Cycle Factor'!$F$12, $E56&lt;='Launch flag &amp; Life-Cycle Factor'!$E$12),'Launch flag &amp; Life-Cycle Factor'!$B$12, IF(AND($E56&gt;='Launch flag &amp; Life-Cycle Factor'!$F$11, $E56&lt;='Launch flag &amp; Life-Cycle Factor'!$E$11),'Launch flag &amp; Life-Cycle Factor'!$B$11, IF(AND($E56&gt;='Launch flag &amp; Life-Cycle Factor'!$F$10, $E56&lt;='Launch flag &amp; Life-Cycle Factor'!$E$10),'Launch flag &amp; Life-Cycle Factor'!$B$10, IF(AND($E56&gt;='Launch flag &amp; Life-Cycle Factor'!$F$9, $E56&lt;='Launch flag &amp; Life-Cycle Factor'!$E$9),'Launch flag &amp; Life-Cycle Factor'!$B$9, IF(AND($E56&gt;='Launch flag &amp; Life-Cycle Factor'!$F$8, $E56&lt;='Launch flag &amp; Life-Cycle Factor'!$E$8),'Launch flag &amp; Life-Cycle Factor'!$B$8, IF(AND($E56&gt;='Launch flag &amp; Life-Cycle Factor'!$F$7, $E56&lt;='Launch flag &amp; Life-Cycle Factor'!$E$7),'Launch flag &amp; Life-Cycle Factor'!$B$7, IF(AND($E56&gt;='Launch flag &amp; Life-Cycle Factor'!$F$6, $E56&lt;='Launch flag &amp; Life-Cycle Factor'!$E$6),'Launch flag &amp; Life-Cycle Factor'!$B$6, "-")))))))))))))))))))</f>
        <v>-</v>
      </c>
      <c r="E56" s="624">
        <f>INDEX('NPS with launch Dates '!$J$6:$J$59,MATCH('2.  Sales Data Key &amp; Key-Lyn'!$C56,'NPS with launch Dates '!$I$6:$I$59,0))</f>
        <v>46273</v>
      </c>
      <c r="F56" s="625">
        <f>INDEX('Raw Sales Forecasting Data'!$D$11:$H$126,MATCH('2.  Sales Data Key &amp; Key-Lyn'!$C56,'Raw Sales Forecasting Data'!$C$11:$C$126,0),MATCH('2.  Sales Data Key &amp; Key-Lyn'!F$6,'Raw Sales Forecasting Data'!$D$10:$H$10,0))</f>
        <v>0</v>
      </c>
      <c r="G56" s="626">
        <f>INDEX('Raw Sales Forecasting Data'!$D$11:$H$126,MATCH('2.  Sales Data Key &amp; Key-Lyn'!$C56,'Raw Sales Forecasting Data'!$C$11:$C$126,0),MATCH('2.  Sales Data Key &amp; Key-Lyn'!G$6,'Raw Sales Forecasting Data'!$D$10:$H$10,0))</f>
        <v>0</v>
      </c>
      <c r="H56" s="626">
        <f>INDEX('Raw Sales Forecasting Data'!$D$11:$H$126,MATCH('2.  Sales Data Key &amp; Key-Lyn'!$C56,'Raw Sales Forecasting Data'!$C$11:$C$126,0),MATCH('2.  Sales Data Key &amp; Key-Lyn'!H$6,'Raw Sales Forecasting Data'!$D$10:$H$10,0))</f>
        <v>0</v>
      </c>
      <c r="I56" s="626">
        <f>INDEX('Raw Sales Forecasting Data'!$D$11:$H$126,MATCH('2.  Sales Data Key &amp; Key-Lyn'!$C56,'Raw Sales Forecasting Data'!$C$11:$C$126,0),MATCH('2.  Sales Data Key &amp; Key-Lyn'!I$6,'Raw Sales Forecasting Data'!$D$10:$H$10,0))</f>
        <v>2.2018391666278792</v>
      </c>
      <c r="J56" s="627">
        <f>INDEX('Raw Sales Forecasting Data'!$D$11:$H$126,MATCH('2.  Sales Data Key &amp; Key-Lyn'!$C56,'Raw Sales Forecasting Data'!$C$11:$C$126,0),MATCH('2.  Sales Data Key &amp; Key-Lyn'!J$6,'Raw Sales Forecasting Data'!$D$10:$H$10,0))</f>
        <v>54.334536173549523</v>
      </c>
      <c r="K56" s="628">
        <f>INDEX('Raw Sales Forecasting Data'!$J$11:$N$126,MATCH('2.  Sales Data Key &amp; Key-Lyn'!$C56,'Raw Sales Forecasting Data'!$C$11:$C$126,0),MATCH('2.  Sales Data Key &amp; Key-Lyn'!K$6,'Raw Sales Forecasting Data'!$J$10:$N$10,0))</f>
        <v>0</v>
      </c>
      <c r="L56" s="626">
        <f>INDEX('Raw Sales Forecasting Data'!$J$11:$N$126,MATCH('2.  Sales Data Key &amp; Key-Lyn'!$C56,'Raw Sales Forecasting Data'!$C$11:$C$126,0),MATCH('2.  Sales Data Key &amp; Key-Lyn'!L$6,'Raw Sales Forecasting Data'!$J$10:$N$10,0))</f>
        <v>0</v>
      </c>
      <c r="M56" s="626">
        <f>INDEX('Raw Sales Forecasting Data'!$J$11:$N$126,MATCH('2.  Sales Data Key &amp; Key-Lyn'!$C56,'Raw Sales Forecasting Data'!$C$11:$C$126,0),MATCH('2.  Sales Data Key &amp; Key-Lyn'!M$6,'Raw Sales Forecasting Data'!$J$10:$N$10,0))</f>
        <v>0</v>
      </c>
      <c r="N56" s="626">
        <f>INDEX('Raw Sales Forecasting Data'!$J$11:$N$126,MATCH('2.  Sales Data Key &amp; Key-Lyn'!$C56,'Raw Sales Forecasting Data'!$C$11:$C$126,0),MATCH('2.  Sales Data Key &amp; Key-Lyn'!N$6,'Raw Sales Forecasting Data'!$J$10:$N$10,0))</f>
        <v>2.2018391666278792</v>
      </c>
      <c r="O56" s="629">
        <f>INDEX('Raw Sales Forecasting Data'!$J$11:$N$126,MATCH('2.  Sales Data Key &amp; Key-Lyn'!$C56,'Raw Sales Forecasting Data'!$C$11:$C$126,0),MATCH('2.  Sales Data Key &amp; Key-Lyn'!O$6,'Raw Sales Forecasting Data'!$J$10:$N$10,0))</f>
        <v>54.334536173549523</v>
      </c>
      <c r="P56" s="630" t="str">
        <f>IF(AND($E56&gt;='Launch flag &amp; Life-Cycle Factor'!$F$24, $E56&lt;='Launch flag &amp; Life-Cycle Factor'!$E$24),'Launch flag &amp; Life-Cycle Factor'!$H$24, IF(AND($E56&gt;='Launch flag &amp; Life-Cycle Factor'!$F$23, $E56&lt;='Launch flag &amp; Life-Cycle Factor'!$E$23),'Launch flag &amp; Life-Cycle Factor'!$H$23, IF(AND($E56&gt;='Launch flag &amp; Life-Cycle Factor'!$F$22, $E56&lt;='Launch flag &amp; Life-Cycle Factor'!$E$22),'Launch flag &amp; Life-Cycle Factor'!$H$22, IF(AND($E56&gt;='Launch flag &amp; Life-Cycle Factor'!$F$21, $E56&lt;='Launch flag &amp; Life-Cycle Factor'!$E$21),'Launch flag &amp; Life-Cycle Factor'!$H$21, IF(AND($E56&gt;='Launch flag &amp; Life-Cycle Factor'!$F$20, $E56&lt;='Launch flag &amp; Life-Cycle Factor'!$E$20),'Launch flag &amp; Life-Cycle Factor'!$H$20, IF(AND($E56&gt;='Launch flag &amp; Life-Cycle Factor'!$F$19, $E56&lt;='Launch flag &amp; Life-Cycle Factor'!$E$19),'Launch flag &amp; Life-Cycle Factor'!$H$19, IF(AND($E56&gt;='Launch flag &amp; Life-Cycle Factor'!$F$18, $E56&lt;='Launch flag &amp; Life-Cycle Factor'!$E$18),'Launch flag &amp; Life-Cycle Factor'!$H$18, IF(AND($E56&gt;='Launch flag &amp; Life-Cycle Factor'!$F$17, $E56&lt;='Launch flag &amp; Life-Cycle Factor'!$E$17),'Launch flag &amp; Life-Cycle Factor'!$H$17, IF(AND($E56&gt;='Launch flag &amp; Life-Cycle Factor'!$F$16, $E56&lt;='Launch flag &amp; Life-Cycle Factor'!$E$16),'Launch flag &amp; Life-Cycle Factor'!$H$16,IF(AND($E56&gt;='Launch flag &amp; Life-Cycle Factor'!$F$15, $E56&lt;='Launch flag &amp; Life-Cycle Factor'!$E$15),'Launch flag &amp; Life-Cycle Factor'!$H$15, IF(AND($E56&gt;='Launch flag &amp; Life-Cycle Factor'!$F$14, $E56&lt;='Launch flag &amp; Life-Cycle Factor'!$E$14),'Launch flag &amp; Life-Cycle Factor'!$H$14,IF(AND($E56&gt;='Launch flag &amp; Life-Cycle Factor'!$F$13, $E56&lt;='Launch flag &amp; Life-Cycle Factor'!$E$13),'Launch flag &amp; Life-Cycle Factor'!$H$13, IF(AND($E56&gt;='Launch flag &amp; Life-Cycle Factor'!$F$12, $E56&lt;='Launch flag &amp; Life-Cycle Factor'!$E$12),'Launch flag &amp; Life-Cycle Factor'!$H$12, IF(AND($E56&gt;='Launch flag &amp; Life-Cycle Factor'!$F$11, $E56&lt;='Launch flag &amp; Life-Cycle Factor'!$E$11),'Launch flag &amp; Life-Cycle Factor'!$H$11, IF(AND($E56&gt;='Launch flag &amp; Life-Cycle Factor'!$F$10, $E56&lt;='Launch flag &amp; Life-Cycle Factor'!$E$10),'Launch flag &amp; Life-Cycle Factor'!$H$10, IF(AND($E56&gt;='Launch flag &amp; Life-Cycle Factor'!$F$9, $E56&lt;='Launch flag &amp; Life-Cycle Factor'!$E$9),'Launch flag &amp; Life-Cycle Factor'!$H$9, IF(AND($E56&gt;='Launch flag &amp; Life-Cycle Factor'!$F$8, $E56&lt;='Launch flag &amp; Life-Cycle Factor'!$E$8),'Launch flag &amp; Life-Cycle Factor'!$H$8, IF(AND($E56&gt;='Launch flag &amp; Life-Cycle Factor'!$F$7, $E56&lt;='Launch flag &amp; Life-Cycle Factor'!$E$7),'Launch flag &amp; Life-Cycle Factor'!$H$7, IF(AND($E56&gt;='Launch flag &amp; Life-Cycle Factor'!$F$6, $E56&lt;='Launch flag &amp; Life-Cycle Factor'!$E$6),'Launch flag &amp; Life-Cycle Factor'!$H$6, "-")))))))))))))))))))</f>
        <v>-</v>
      </c>
      <c r="Q56" s="656" t="str">
        <f>IF(AND($E56&gt;='Launch flag &amp; Life-Cycle Factor'!$F$24, $E56&lt;='Launch flag &amp; Life-Cycle Factor'!$E$24),'Launch flag &amp; Life-Cycle Factor'!$I$24, IF(AND($E56&gt;='Launch flag &amp; Life-Cycle Factor'!$F$23, $E56&lt;='Launch flag &amp; Life-Cycle Factor'!$E$23),'Launch flag &amp; Life-Cycle Factor'!$I$23, IF(AND($E56&gt;='Launch flag &amp; Life-Cycle Factor'!$F$22, $E56&lt;='Launch flag &amp; Life-Cycle Factor'!$E$22),'Launch flag &amp; Life-Cycle Factor'!$I$22, IF(AND($E56&gt;='Launch flag &amp; Life-Cycle Factor'!$F$21, $E56&lt;='Launch flag &amp; Life-Cycle Factor'!$E$21),'Launch flag &amp; Life-Cycle Factor'!$I$21, IF(AND($E56&gt;='Launch flag &amp; Life-Cycle Factor'!$F$20, $E56&lt;='Launch flag &amp; Life-Cycle Factor'!$E$20),'Launch flag &amp; Life-Cycle Factor'!$I$20, IF(AND($E56&gt;='Launch flag &amp; Life-Cycle Factor'!$F$19, $E56&lt;='Launch flag &amp; Life-Cycle Factor'!$E$19),'Launch flag &amp; Life-Cycle Factor'!$I$19, IF(AND($E56&gt;='Launch flag &amp; Life-Cycle Factor'!$F$18, $E56&lt;='Launch flag &amp; Life-Cycle Factor'!$E$18),'Launch flag &amp; Life-Cycle Factor'!$I$18, IF(AND($E56&gt;='Launch flag &amp; Life-Cycle Factor'!$F$17, $E56&lt;='Launch flag &amp; Life-Cycle Factor'!$E$17),'Launch flag &amp; Life-Cycle Factor'!$I$17, IF(AND($E56&gt;='Launch flag &amp; Life-Cycle Factor'!$F$16, $E56&lt;='Launch flag &amp; Life-Cycle Factor'!$E$16),'Launch flag &amp; Life-Cycle Factor'!$I$16,IF(AND($E56&gt;='Launch flag &amp; Life-Cycle Factor'!$F$15, $E56&lt;='Launch flag &amp; Life-Cycle Factor'!$E$15),'Launch flag &amp; Life-Cycle Factor'!$I$15, IF(AND($E56&gt;='Launch flag &amp; Life-Cycle Factor'!$F$14, $E56&lt;='Launch flag &amp; Life-Cycle Factor'!$E$14),'Launch flag &amp; Life-Cycle Factor'!$I$14,IF(AND($E56&gt;='Launch flag &amp; Life-Cycle Factor'!$F$13, $E56&lt;='Launch flag &amp; Life-Cycle Factor'!$E$13),'Launch flag &amp; Life-Cycle Factor'!$I$13, IF(AND($E56&gt;='Launch flag &amp; Life-Cycle Factor'!$F$12, $E56&lt;='Launch flag &amp; Life-Cycle Factor'!$E$12),'Launch flag &amp; Life-Cycle Factor'!$I$12, IF(AND($E56&gt;='Launch flag &amp; Life-Cycle Factor'!$F$11, $E56&lt;='Launch flag &amp; Life-Cycle Factor'!$E$11),'Launch flag &amp; Life-Cycle Factor'!$I$11, IF(AND($E56&gt;='Launch flag &amp; Life-Cycle Factor'!$F$10, $E56&lt;='Launch flag &amp; Life-Cycle Factor'!$E$10),'Launch flag &amp; Life-Cycle Factor'!$I$10, IF(AND($E56&gt;='Launch flag &amp; Life-Cycle Factor'!$F$9, $E56&lt;='Launch flag &amp; Life-Cycle Factor'!$E$9),'Launch flag &amp; Life-Cycle Factor'!$I$9, IF(AND($E56&gt;='Launch flag &amp; Life-Cycle Factor'!$F$8, $E56&lt;='Launch flag &amp; Life-Cycle Factor'!$E$8),'Launch flag &amp; Life-Cycle Factor'!$I$8, IF(AND($E56&gt;='Launch flag &amp; Life-Cycle Factor'!$F$7, $E56&lt;='Launch flag &amp; Life-Cycle Factor'!$E$7),'Launch flag &amp; Life-Cycle Factor'!$I$7, IF(AND($E56&gt;='Launch flag &amp; Life-Cycle Factor'!$F$6, $E56&lt;='Launch flag &amp; Life-Cycle Factor'!$E$6),'Launch flag &amp; Life-Cycle Factor'!$I$6, "-")))))))))))))))))))</f>
        <v>-</v>
      </c>
      <c r="R56" s="664" t="str">
        <f t="shared" si="0"/>
        <v>-</v>
      </c>
      <c r="S56" s="665" t="str">
        <f t="shared" si="1"/>
        <v>-</v>
      </c>
      <c r="T56" s="631" t="str">
        <f t="shared" si="2"/>
        <v>-</v>
      </c>
      <c r="U56" s="632" t="str">
        <f t="shared" si="3"/>
        <v>-</v>
      </c>
      <c r="V56" s="839" t="str">
        <f t="shared" si="4"/>
        <v>-</v>
      </c>
      <c r="W56" s="840" t="str">
        <f t="shared" si="5"/>
        <v>-</v>
      </c>
      <c r="X56" s="863" t="s">
        <v>1177</v>
      </c>
    </row>
    <row r="57" spans="2:24" x14ac:dyDescent="0.35">
      <c r="B57" s="569" t="s">
        <v>43</v>
      </c>
      <c r="C57" s="847" t="s">
        <v>323</v>
      </c>
      <c r="D57" s="848" t="str">
        <f>IF(AND($E57&gt;='Launch flag &amp; Life-Cycle Factor'!$F$24, $E57&lt;='Launch flag &amp; Life-Cycle Factor'!$E$24),'Launch flag &amp; Life-Cycle Factor'!$B$24, IF(AND($E57&gt;='Launch flag &amp; Life-Cycle Factor'!$F$23, $E57&lt;='Launch flag &amp; Life-Cycle Factor'!$E$23),'Launch flag &amp; Life-Cycle Factor'!$B$23, IF(AND($E57&gt;='Launch flag &amp; Life-Cycle Factor'!$F$22, $E57&lt;='Launch flag &amp; Life-Cycle Factor'!$E$22),'Launch flag &amp; Life-Cycle Factor'!$B$22, IF(AND($E57&gt;='Launch flag &amp; Life-Cycle Factor'!$F$21, $E57&lt;='Launch flag &amp; Life-Cycle Factor'!$E$21),'Launch flag &amp; Life-Cycle Factor'!$B$21, IF(AND($E57&gt;='Launch flag &amp; Life-Cycle Factor'!$F$20, $E57&lt;='Launch flag &amp; Life-Cycle Factor'!$E$20),'Launch flag &amp; Life-Cycle Factor'!$B$20, IF(AND($E57&gt;='Launch flag &amp; Life-Cycle Factor'!$F$19, $E57&lt;='Launch flag &amp; Life-Cycle Factor'!$E$19),'Launch flag &amp; Life-Cycle Factor'!$B$19, IF(AND($E57&gt;='Launch flag &amp; Life-Cycle Factor'!$F$18, $E57&lt;='Launch flag &amp; Life-Cycle Factor'!$E$18),'Launch flag &amp; Life-Cycle Factor'!$B$18, IF(AND($E57&gt;='Launch flag &amp; Life-Cycle Factor'!$F$17, $E57&lt;='Launch flag &amp; Life-Cycle Factor'!$E$17),'Launch flag &amp; Life-Cycle Factor'!$B$17, IF(AND($E57&gt;='Launch flag &amp; Life-Cycle Factor'!$F$16, $E57&lt;='Launch flag &amp; Life-Cycle Factor'!$E$16),'Launch flag &amp; Life-Cycle Factor'!$B$16,IF(AND($E57&gt;='Launch flag &amp; Life-Cycle Factor'!$F$15, $E57&lt;='Launch flag &amp; Life-Cycle Factor'!$E$15),'Launch flag &amp; Life-Cycle Factor'!$B$15, IF(AND($E57&gt;='Launch flag &amp; Life-Cycle Factor'!$F$14, $E57&lt;='Launch flag &amp; Life-Cycle Factor'!$E$14),'Launch flag &amp; Life-Cycle Factor'!$B$14,IF(AND($E57&gt;='Launch flag &amp; Life-Cycle Factor'!$F$13, $E57&lt;='Launch flag &amp; Life-Cycle Factor'!$E$13),'Launch flag &amp; Life-Cycle Factor'!$B$13, IF(AND($E57&gt;='Launch flag &amp; Life-Cycle Factor'!$F$12, $E57&lt;='Launch flag &amp; Life-Cycle Factor'!$E$12),'Launch flag &amp; Life-Cycle Factor'!$B$12, IF(AND($E57&gt;='Launch flag &amp; Life-Cycle Factor'!$F$11, $E57&lt;='Launch flag &amp; Life-Cycle Factor'!$E$11),'Launch flag &amp; Life-Cycle Factor'!$B$11, IF(AND($E57&gt;='Launch flag &amp; Life-Cycle Factor'!$F$10, $E57&lt;='Launch flag &amp; Life-Cycle Factor'!$E$10),'Launch flag &amp; Life-Cycle Factor'!$B$10, IF(AND($E57&gt;='Launch flag &amp; Life-Cycle Factor'!$F$9, $E57&lt;='Launch flag &amp; Life-Cycle Factor'!$E$9),'Launch flag &amp; Life-Cycle Factor'!$B$9, IF(AND($E57&gt;='Launch flag &amp; Life-Cycle Factor'!$F$8, $E57&lt;='Launch flag &amp; Life-Cycle Factor'!$E$8),'Launch flag &amp; Life-Cycle Factor'!$B$8, IF(AND($E57&gt;='Launch flag &amp; Life-Cycle Factor'!$F$7, $E57&lt;='Launch flag &amp; Life-Cycle Factor'!$E$7),'Launch flag &amp; Life-Cycle Factor'!$B$7, IF(AND($E57&gt;='Launch flag &amp; Life-Cycle Factor'!$F$6, $E57&lt;='Launch flag &amp; Life-Cycle Factor'!$E$6),'Launch flag &amp; Life-Cycle Factor'!$B$6, "-")))))))))))))))))))</f>
        <v>Future Launch</v>
      </c>
      <c r="E57" s="849">
        <f>INDEX('NPS with launch Dates '!$J$6:$J$59,MATCH('2.  Sales Data Key &amp; Key-Lyn'!$C57,'NPS with launch Dates '!$I$6:$I$59,0))</f>
        <v>45810</v>
      </c>
      <c r="F57" s="850">
        <f>INDEX('Raw Sales Forecasting Data'!$D$11:$H$126,MATCH('2.  Sales Data Key &amp; Key-Lyn'!$C57,'Raw Sales Forecasting Data'!$C$11:$C$126,0),MATCH('2.  Sales Data Key &amp; Key-Lyn'!F$6,'Raw Sales Forecasting Data'!$D$10:$H$10,0))</f>
        <v>0</v>
      </c>
      <c r="G57" s="851">
        <f>INDEX('Raw Sales Forecasting Data'!$D$11:$H$126,MATCH('2.  Sales Data Key &amp; Key-Lyn'!$C57,'Raw Sales Forecasting Data'!$C$11:$C$126,0),MATCH('2.  Sales Data Key &amp; Key-Lyn'!G$6,'Raw Sales Forecasting Data'!$D$10:$H$10,0))</f>
        <v>0</v>
      </c>
      <c r="H57" s="851">
        <f>INDEX('Raw Sales Forecasting Data'!$D$11:$H$126,MATCH('2.  Sales Data Key &amp; Key-Lyn'!$C57,'Raw Sales Forecasting Data'!$C$11:$C$126,0),MATCH('2.  Sales Data Key &amp; Key-Lyn'!H$6,'Raw Sales Forecasting Data'!$D$10:$H$10,0))</f>
        <v>0</v>
      </c>
      <c r="I57" s="851">
        <f>INDEX('Raw Sales Forecasting Data'!$D$11:$H$126,MATCH('2.  Sales Data Key &amp; Key-Lyn'!$C57,'Raw Sales Forecasting Data'!$C$11:$C$126,0),MATCH('2.  Sales Data Key &amp; Key-Lyn'!I$6,'Raw Sales Forecasting Data'!$D$10:$H$10,0))</f>
        <v>0</v>
      </c>
      <c r="J57" s="852">
        <f>INDEX('Raw Sales Forecasting Data'!$D$11:$H$126,MATCH('2.  Sales Data Key &amp; Key-Lyn'!$C57,'Raw Sales Forecasting Data'!$C$11:$C$126,0),MATCH('2.  Sales Data Key &amp; Key-Lyn'!J$6,'Raw Sales Forecasting Data'!$D$10:$H$10,0))</f>
        <v>0</v>
      </c>
      <c r="K57" s="853">
        <f>INDEX('Raw Sales Forecasting Data'!$J$11:$N$126,MATCH('2.  Sales Data Key &amp; Key-Lyn'!$C57,'Raw Sales Forecasting Data'!$C$11:$C$126,0),MATCH('2.  Sales Data Key &amp; Key-Lyn'!K$6,'Raw Sales Forecasting Data'!$J$10:$N$10,0))</f>
        <v>0</v>
      </c>
      <c r="L57" s="851">
        <f>INDEX('Raw Sales Forecasting Data'!$J$11:$N$126,MATCH('2.  Sales Data Key &amp; Key-Lyn'!$C57,'Raw Sales Forecasting Data'!$C$11:$C$126,0),MATCH('2.  Sales Data Key &amp; Key-Lyn'!L$6,'Raw Sales Forecasting Data'!$J$10:$N$10,0))</f>
        <v>0</v>
      </c>
      <c r="M57" s="851">
        <f>INDEX('Raw Sales Forecasting Data'!$J$11:$N$126,MATCH('2.  Sales Data Key &amp; Key-Lyn'!$C57,'Raw Sales Forecasting Data'!$C$11:$C$126,0),MATCH('2.  Sales Data Key &amp; Key-Lyn'!M$6,'Raw Sales Forecasting Data'!$J$10:$N$10,0))</f>
        <v>0</v>
      </c>
      <c r="N57" s="851">
        <f>INDEX('Raw Sales Forecasting Data'!$J$11:$N$126,MATCH('2.  Sales Data Key &amp; Key-Lyn'!$C57,'Raw Sales Forecasting Data'!$C$11:$C$126,0),MATCH('2.  Sales Data Key &amp; Key-Lyn'!N$6,'Raw Sales Forecasting Data'!$J$10:$N$10,0))</f>
        <v>0</v>
      </c>
      <c r="O57" s="854">
        <f>INDEX('Raw Sales Forecasting Data'!$J$11:$N$126,MATCH('2.  Sales Data Key &amp; Key-Lyn'!$C57,'Raw Sales Forecasting Data'!$C$11:$C$126,0),MATCH('2.  Sales Data Key &amp; Key-Lyn'!O$6,'Raw Sales Forecasting Data'!$J$10:$N$10,0))</f>
        <v>0</v>
      </c>
      <c r="P57" s="855">
        <f>IF(AND($E57&gt;='Launch flag &amp; Life-Cycle Factor'!$F$24, $E57&lt;='Launch flag &amp; Life-Cycle Factor'!$E$24),'Launch flag &amp; Life-Cycle Factor'!$H$24, IF(AND($E57&gt;='Launch flag &amp; Life-Cycle Factor'!$F$23, $E57&lt;='Launch flag &amp; Life-Cycle Factor'!$E$23),'Launch flag &amp; Life-Cycle Factor'!$H$23, IF(AND($E57&gt;='Launch flag &amp; Life-Cycle Factor'!$F$22, $E57&lt;='Launch flag &amp; Life-Cycle Factor'!$E$22),'Launch flag &amp; Life-Cycle Factor'!$H$22, IF(AND($E57&gt;='Launch flag &amp; Life-Cycle Factor'!$F$21, $E57&lt;='Launch flag &amp; Life-Cycle Factor'!$E$21),'Launch flag &amp; Life-Cycle Factor'!$H$21, IF(AND($E57&gt;='Launch flag &amp; Life-Cycle Factor'!$F$20, $E57&lt;='Launch flag &amp; Life-Cycle Factor'!$E$20),'Launch flag &amp; Life-Cycle Factor'!$H$20, IF(AND($E57&gt;='Launch flag &amp; Life-Cycle Factor'!$F$19, $E57&lt;='Launch flag &amp; Life-Cycle Factor'!$E$19),'Launch flag &amp; Life-Cycle Factor'!$H$19, IF(AND($E57&gt;='Launch flag &amp; Life-Cycle Factor'!$F$18, $E57&lt;='Launch flag &amp; Life-Cycle Factor'!$E$18),'Launch flag &amp; Life-Cycle Factor'!$H$18, IF(AND($E57&gt;='Launch flag &amp; Life-Cycle Factor'!$F$17, $E57&lt;='Launch flag &amp; Life-Cycle Factor'!$E$17),'Launch flag &amp; Life-Cycle Factor'!$H$17, IF(AND($E57&gt;='Launch flag &amp; Life-Cycle Factor'!$F$16, $E57&lt;='Launch flag &amp; Life-Cycle Factor'!$E$16),'Launch flag &amp; Life-Cycle Factor'!$H$16,IF(AND($E57&gt;='Launch flag &amp; Life-Cycle Factor'!$F$15, $E57&lt;='Launch flag &amp; Life-Cycle Factor'!$E$15),'Launch flag &amp; Life-Cycle Factor'!$H$15, IF(AND($E57&gt;='Launch flag &amp; Life-Cycle Factor'!$F$14, $E57&lt;='Launch flag &amp; Life-Cycle Factor'!$E$14),'Launch flag &amp; Life-Cycle Factor'!$H$14,IF(AND($E57&gt;='Launch flag &amp; Life-Cycle Factor'!$F$13, $E57&lt;='Launch flag &amp; Life-Cycle Factor'!$E$13),'Launch flag &amp; Life-Cycle Factor'!$H$13, IF(AND($E57&gt;='Launch flag &amp; Life-Cycle Factor'!$F$12, $E57&lt;='Launch flag &amp; Life-Cycle Factor'!$E$12),'Launch flag &amp; Life-Cycle Factor'!$H$12, IF(AND($E57&gt;='Launch flag &amp; Life-Cycle Factor'!$F$11, $E57&lt;='Launch flag &amp; Life-Cycle Factor'!$E$11),'Launch flag &amp; Life-Cycle Factor'!$H$11, IF(AND($E57&gt;='Launch flag &amp; Life-Cycle Factor'!$F$10, $E57&lt;='Launch flag &amp; Life-Cycle Factor'!$E$10),'Launch flag &amp; Life-Cycle Factor'!$H$10, IF(AND($E57&gt;='Launch flag &amp; Life-Cycle Factor'!$F$9, $E57&lt;='Launch flag &amp; Life-Cycle Factor'!$E$9),'Launch flag &amp; Life-Cycle Factor'!$H$9, IF(AND($E57&gt;='Launch flag &amp; Life-Cycle Factor'!$F$8, $E57&lt;='Launch flag &amp; Life-Cycle Factor'!$E$8),'Launch flag &amp; Life-Cycle Factor'!$H$8, IF(AND($E57&gt;='Launch flag &amp; Life-Cycle Factor'!$F$7, $E57&lt;='Launch flag &amp; Life-Cycle Factor'!$E$7),'Launch flag &amp; Life-Cycle Factor'!$H$7, IF(AND($E57&gt;='Launch flag &amp; Life-Cycle Factor'!$F$6, $E57&lt;='Launch flag &amp; Life-Cycle Factor'!$E$6),'Launch flag &amp; Life-Cycle Factor'!$H$6, "-")))))))))))))))))))</f>
        <v>0</v>
      </c>
      <c r="Q57" s="856">
        <f>IF(AND($E57&gt;='Launch flag &amp; Life-Cycle Factor'!$F$24, $E57&lt;='Launch flag &amp; Life-Cycle Factor'!$E$24),'Launch flag &amp; Life-Cycle Factor'!$I$24, IF(AND($E57&gt;='Launch flag &amp; Life-Cycle Factor'!$F$23, $E57&lt;='Launch flag &amp; Life-Cycle Factor'!$E$23),'Launch flag &amp; Life-Cycle Factor'!$I$23, IF(AND($E57&gt;='Launch flag &amp; Life-Cycle Factor'!$F$22, $E57&lt;='Launch flag &amp; Life-Cycle Factor'!$E$22),'Launch flag &amp; Life-Cycle Factor'!$I$22, IF(AND($E57&gt;='Launch flag &amp; Life-Cycle Factor'!$F$21, $E57&lt;='Launch flag &amp; Life-Cycle Factor'!$E$21),'Launch flag &amp; Life-Cycle Factor'!$I$21, IF(AND($E57&gt;='Launch flag &amp; Life-Cycle Factor'!$F$20, $E57&lt;='Launch flag &amp; Life-Cycle Factor'!$E$20),'Launch flag &amp; Life-Cycle Factor'!$I$20, IF(AND($E57&gt;='Launch flag &amp; Life-Cycle Factor'!$F$19, $E57&lt;='Launch flag &amp; Life-Cycle Factor'!$E$19),'Launch flag &amp; Life-Cycle Factor'!$I$19, IF(AND($E57&gt;='Launch flag &amp; Life-Cycle Factor'!$F$18, $E57&lt;='Launch flag &amp; Life-Cycle Factor'!$E$18),'Launch flag &amp; Life-Cycle Factor'!$I$18, IF(AND($E57&gt;='Launch flag &amp; Life-Cycle Factor'!$F$17, $E57&lt;='Launch flag &amp; Life-Cycle Factor'!$E$17),'Launch flag &amp; Life-Cycle Factor'!$I$17, IF(AND($E57&gt;='Launch flag &amp; Life-Cycle Factor'!$F$16, $E57&lt;='Launch flag &amp; Life-Cycle Factor'!$E$16),'Launch flag &amp; Life-Cycle Factor'!$I$16,IF(AND($E57&gt;='Launch flag &amp; Life-Cycle Factor'!$F$15, $E57&lt;='Launch flag &amp; Life-Cycle Factor'!$E$15),'Launch flag &amp; Life-Cycle Factor'!$I$15, IF(AND($E57&gt;='Launch flag &amp; Life-Cycle Factor'!$F$14, $E57&lt;='Launch flag &amp; Life-Cycle Factor'!$E$14),'Launch flag &amp; Life-Cycle Factor'!$I$14,IF(AND($E57&gt;='Launch flag &amp; Life-Cycle Factor'!$F$13, $E57&lt;='Launch flag &amp; Life-Cycle Factor'!$E$13),'Launch flag &amp; Life-Cycle Factor'!$I$13, IF(AND($E57&gt;='Launch flag &amp; Life-Cycle Factor'!$F$12, $E57&lt;='Launch flag &amp; Life-Cycle Factor'!$E$12),'Launch flag &amp; Life-Cycle Factor'!$I$12, IF(AND($E57&gt;='Launch flag &amp; Life-Cycle Factor'!$F$11, $E57&lt;='Launch flag &amp; Life-Cycle Factor'!$E$11),'Launch flag &amp; Life-Cycle Factor'!$I$11, IF(AND($E57&gt;='Launch flag &amp; Life-Cycle Factor'!$F$10, $E57&lt;='Launch flag &amp; Life-Cycle Factor'!$E$10),'Launch flag &amp; Life-Cycle Factor'!$I$10, IF(AND($E57&gt;='Launch flag &amp; Life-Cycle Factor'!$F$9, $E57&lt;='Launch flag &amp; Life-Cycle Factor'!$E$9),'Launch flag &amp; Life-Cycle Factor'!$I$9, IF(AND($E57&gt;='Launch flag &amp; Life-Cycle Factor'!$F$8, $E57&lt;='Launch flag &amp; Life-Cycle Factor'!$E$8),'Launch flag &amp; Life-Cycle Factor'!$I$8, IF(AND($E57&gt;='Launch flag &amp; Life-Cycle Factor'!$F$7, $E57&lt;='Launch flag &amp; Life-Cycle Factor'!$E$7),'Launch flag &amp; Life-Cycle Factor'!$I$7, IF(AND($E57&gt;='Launch flag &amp; Life-Cycle Factor'!$F$6, $E57&lt;='Launch flag &amp; Life-Cycle Factor'!$E$6),'Launch flag &amp; Life-Cycle Factor'!$I$6, "-")))))))))))))))))))</f>
        <v>0.7</v>
      </c>
      <c r="R57" s="857">
        <f t="shared" si="0"/>
        <v>0</v>
      </c>
      <c r="S57" s="858">
        <f t="shared" si="1"/>
        <v>0</v>
      </c>
      <c r="T57" s="859">
        <f t="shared" si="2"/>
        <v>0</v>
      </c>
      <c r="U57" s="860">
        <f t="shared" si="3"/>
        <v>0</v>
      </c>
      <c r="V57" s="861">
        <f t="shared" si="4"/>
        <v>0</v>
      </c>
      <c r="W57" s="862">
        <f t="shared" si="5"/>
        <v>0</v>
      </c>
      <c r="X57" s="846" t="s">
        <v>1178</v>
      </c>
    </row>
    <row r="58" spans="2:24" x14ac:dyDescent="0.35">
      <c r="B58" s="186" t="s">
        <v>43</v>
      </c>
      <c r="C58" s="192" t="s">
        <v>325</v>
      </c>
      <c r="D58" s="206" t="str">
        <f>IF(AND($E58&gt;='Launch flag &amp; Life-Cycle Factor'!$F$24, $E58&lt;='Launch flag &amp; Life-Cycle Factor'!$E$24),'Launch flag &amp; Life-Cycle Factor'!$B$24, IF(AND($E58&gt;='Launch flag &amp; Life-Cycle Factor'!$F$23, $E58&lt;='Launch flag &amp; Life-Cycle Factor'!$E$23),'Launch flag &amp; Life-Cycle Factor'!$B$23, IF(AND($E58&gt;='Launch flag &amp; Life-Cycle Factor'!$F$22, $E58&lt;='Launch flag &amp; Life-Cycle Factor'!$E$22),'Launch flag &amp; Life-Cycle Factor'!$B$22, IF(AND($E58&gt;='Launch flag &amp; Life-Cycle Factor'!$F$21, $E58&lt;='Launch flag &amp; Life-Cycle Factor'!$E$21),'Launch flag &amp; Life-Cycle Factor'!$B$21, IF(AND($E58&gt;='Launch flag &amp; Life-Cycle Factor'!$F$20, $E58&lt;='Launch flag &amp; Life-Cycle Factor'!$E$20),'Launch flag &amp; Life-Cycle Factor'!$B$20, IF(AND($E58&gt;='Launch flag &amp; Life-Cycle Factor'!$F$19, $E58&lt;='Launch flag &amp; Life-Cycle Factor'!$E$19),'Launch flag &amp; Life-Cycle Factor'!$B$19, IF(AND($E58&gt;='Launch flag &amp; Life-Cycle Factor'!$F$18, $E58&lt;='Launch flag &amp; Life-Cycle Factor'!$E$18),'Launch flag &amp; Life-Cycle Factor'!$B$18, IF(AND($E58&gt;='Launch flag &amp; Life-Cycle Factor'!$F$17, $E58&lt;='Launch flag &amp; Life-Cycle Factor'!$E$17),'Launch flag &amp; Life-Cycle Factor'!$B$17, IF(AND($E58&gt;='Launch flag &amp; Life-Cycle Factor'!$F$16, $E58&lt;='Launch flag &amp; Life-Cycle Factor'!$E$16),'Launch flag &amp; Life-Cycle Factor'!$B$16,IF(AND($E58&gt;='Launch flag &amp; Life-Cycle Factor'!$F$15, $E58&lt;='Launch flag &amp; Life-Cycle Factor'!$E$15),'Launch flag &amp; Life-Cycle Factor'!$B$15, IF(AND($E58&gt;='Launch flag &amp; Life-Cycle Factor'!$F$14, $E58&lt;='Launch flag &amp; Life-Cycle Factor'!$E$14),'Launch flag &amp; Life-Cycle Factor'!$B$14,IF(AND($E58&gt;='Launch flag &amp; Life-Cycle Factor'!$F$13, $E58&lt;='Launch flag &amp; Life-Cycle Factor'!$E$13),'Launch flag &amp; Life-Cycle Factor'!$B$13, IF(AND($E58&gt;='Launch flag &amp; Life-Cycle Factor'!$F$12, $E58&lt;='Launch flag &amp; Life-Cycle Factor'!$E$12),'Launch flag &amp; Life-Cycle Factor'!$B$12, IF(AND($E58&gt;='Launch flag &amp; Life-Cycle Factor'!$F$11, $E58&lt;='Launch flag &amp; Life-Cycle Factor'!$E$11),'Launch flag &amp; Life-Cycle Factor'!$B$11, IF(AND($E58&gt;='Launch flag &amp; Life-Cycle Factor'!$F$10, $E58&lt;='Launch flag &amp; Life-Cycle Factor'!$E$10),'Launch flag &amp; Life-Cycle Factor'!$B$10, IF(AND($E58&gt;='Launch flag &amp; Life-Cycle Factor'!$F$9, $E58&lt;='Launch flag &amp; Life-Cycle Factor'!$E$9),'Launch flag &amp; Life-Cycle Factor'!$B$9, IF(AND($E58&gt;='Launch flag &amp; Life-Cycle Factor'!$F$8, $E58&lt;='Launch flag &amp; Life-Cycle Factor'!$E$8),'Launch flag &amp; Life-Cycle Factor'!$B$8, IF(AND($E58&gt;='Launch flag &amp; Life-Cycle Factor'!$F$7, $E58&lt;='Launch flag &amp; Life-Cycle Factor'!$E$7),'Launch flag &amp; Life-Cycle Factor'!$B$7, IF(AND($E58&gt;='Launch flag &amp; Life-Cycle Factor'!$F$6, $E58&lt;='Launch flag &amp; Life-Cycle Factor'!$E$6),'Launch flag &amp; Life-Cycle Factor'!$B$6, "-")))))))))))))))))))</f>
        <v>Mature</v>
      </c>
      <c r="E58" s="219">
        <f>INDEX('NPS with launch Dates '!$J$6:$J$59,MATCH('2.  Sales Data Key &amp; Key-Lyn'!$C58,'NPS with launch Dates '!$I$6:$I$59,0))</f>
        <v>43115</v>
      </c>
      <c r="F58" s="197">
        <f>INDEX('Raw Sales Forecasting Data'!$D$11:$H$126,MATCH('2.  Sales Data Key &amp; Key-Lyn'!$C58,'Raw Sales Forecasting Data'!$C$11:$C$126,0),MATCH('2.  Sales Data Key &amp; Key-Lyn'!F$6,'Raw Sales Forecasting Data'!$D$10:$H$10,0))</f>
        <v>345.14522081402066</v>
      </c>
      <c r="G58" s="198">
        <f>INDEX('Raw Sales Forecasting Data'!$D$11:$H$126,MATCH('2.  Sales Data Key &amp; Key-Lyn'!$C58,'Raw Sales Forecasting Data'!$C$11:$C$126,0),MATCH('2.  Sales Data Key &amp; Key-Lyn'!G$6,'Raw Sales Forecasting Data'!$D$10:$H$10,0))</f>
        <v>295.4512574119363</v>
      </c>
      <c r="H58" s="198">
        <f>INDEX('Raw Sales Forecasting Data'!$D$11:$H$126,MATCH('2.  Sales Data Key &amp; Key-Lyn'!$C58,'Raw Sales Forecasting Data'!$C$11:$C$126,0),MATCH('2.  Sales Data Key &amp; Key-Lyn'!H$6,'Raw Sales Forecasting Data'!$D$10:$H$10,0))</f>
        <v>267.5042384736139</v>
      </c>
      <c r="I58" s="198">
        <f>INDEX('Raw Sales Forecasting Data'!$D$11:$H$126,MATCH('2.  Sales Data Key &amp; Key-Lyn'!$C58,'Raw Sales Forecasting Data'!$C$11:$C$126,0),MATCH('2.  Sales Data Key &amp; Key-Lyn'!I$6,'Raw Sales Forecasting Data'!$D$10:$H$10,0))</f>
        <v>262.90258113437875</v>
      </c>
      <c r="J58" s="199">
        <f>INDEX('Raw Sales Forecasting Data'!$D$11:$H$126,MATCH('2.  Sales Data Key &amp; Key-Lyn'!$C58,'Raw Sales Forecasting Data'!$C$11:$C$126,0),MATCH('2.  Sales Data Key &amp; Key-Lyn'!J$6,'Raw Sales Forecasting Data'!$D$10:$H$10,0))</f>
        <v>255.7752151313739</v>
      </c>
      <c r="K58" s="203">
        <f>INDEX('Raw Sales Forecasting Data'!$J$11:$N$126,MATCH('2.  Sales Data Key &amp; Key-Lyn'!$C58,'Raw Sales Forecasting Data'!$C$11:$C$126,0),MATCH('2.  Sales Data Key &amp; Key-Lyn'!K$6,'Raw Sales Forecasting Data'!$J$10:$N$10,0))</f>
        <v>345.14522081402066</v>
      </c>
      <c r="L58" s="198">
        <f>INDEX('Raw Sales Forecasting Data'!$J$11:$N$126,MATCH('2.  Sales Data Key &amp; Key-Lyn'!$C58,'Raw Sales Forecasting Data'!$C$11:$C$126,0),MATCH('2.  Sales Data Key &amp; Key-Lyn'!L$6,'Raw Sales Forecasting Data'!$J$10:$N$10,0))</f>
        <v>295.4512574119363</v>
      </c>
      <c r="M58" s="198">
        <f>INDEX('Raw Sales Forecasting Data'!$J$11:$N$126,MATCH('2.  Sales Data Key &amp; Key-Lyn'!$C58,'Raw Sales Forecasting Data'!$C$11:$C$126,0),MATCH('2.  Sales Data Key &amp; Key-Lyn'!M$6,'Raw Sales Forecasting Data'!$J$10:$N$10,0))</f>
        <v>267.5042384736139</v>
      </c>
      <c r="N58" s="198">
        <f>INDEX('Raw Sales Forecasting Data'!$J$11:$N$126,MATCH('2.  Sales Data Key &amp; Key-Lyn'!$C58,'Raw Sales Forecasting Data'!$C$11:$C$126,0),MATCH('2.  Sales Data Key &amp; Key-Lyn'!N$6,'Raw Sales Forecasting Data'!$J$10:$N$10,0))</f>
        <v>262.90258113437875</v>
      </c>
      <c r="O58" s="238">
        <f>INDEX('Raw Sales Forecasting Data'!$J$11:$N$126,MATCH('2.  Sales Data Key &amp; Key-Lyn'!$C58,'Raw Sales Forecasting Data'!$C$11:$C$126,0),MATCH('2.  Sales Data Key &amp; Key-Lyn'!O$6,'Raw Sales Forecasting Data'!$J$10:$N$10,0))</f>
        <v>255.7752151313739</v>
      </c>
      <c r="P58" s="240">
        <f>IF(AND($E58&gt;='Launch flag &amp; Life-Cycle Factor'!$F$24, $E58&lt;='Launch flag &amp; Life-Cycle Factor'!$E$24),'Launch flag &amp; Life-Cycle Factor'!$H$24, IF(AND($E58&gt;='Launch flag &amp; Life-Cycle Factor'!$F$23, $E58&lt;='Launch flag &amp; Life-Cycle Factor'!$E$23),'Launch flag &amp; Life-Cycle Factor'!$H$23, IF(AND($E58&gt;='Launch flag &amp; Life-Cycle Factor'!$F$22, $E58&lt;='Launch flag &amp; Life-Cycle Factor'!$E$22),'Launch flag &amp; Life-Cycle Factor'!$H$22, IF(AND($E58&gt;='Launch flag &amp; Life-Cycle Factor'!$F$21, $E58&lt;='Launch flag &amp; Life-Cycle Factor'!$E$21),'Launch flag &amp; Life-Cycle Factor'!$H$21, IF(AND($E58&gt;='Launch flag &amp; Life-Cycle Factor'!$F$20, $E58&lt;='Launch flag &amp; Life-Cycle Factor'!$E$20),'Launch flag &amp; Life-Cycle Factor'!$H$20, IF(AND($E58&gt;='Launch flag &amp; Life-Cycle Factor'!$F$19, $E58&lt;='Launch flag &amp; Life-Cycle Factor'!$E$19),'Launch flag &amp; Life-Cycle Factor'!$H$19, IF(AND($E58&gt;='Launch flag &amp; Life-Cycle Factor'!$F$18, $E58&lt;='Launch flag &amp; Life-Cycle Factor'!$E$18),'Launch flag &amp; Life-Cycle Factor'!$H$18, IF(AND($E58&gt;='Launch flag &amp; Life-Cycle Factor'!$F$17, $E58&lt;='Launch flag &amp; Life-Cycle Factor'!$E$17),'Launch flag &amp; Life-Cycle Factor'!$H$17, IF(AND($E58&gt;='Launch flag &amp; Life-Cycle Factor'!$F$16, $E58&lt;='Launch flag &amp; Life-Cycle Factor'!$E$16),'Launch flag &amp; Life-Cycle Factor'!$H$16,IF(AND($E58&gt;='Launch flag &amp; Life-Cycle Factor'!$F$15, $E58&lt;='Launch flag &amp; Life-Cycle Factor'!$E$15),'Launch flag &amp; Life-Cycle Factor'!$H$15, IF(AND($E58&gt;='Launch flag &amp; Life-Cycle Factor'!$F$14, $E58&lt;='Launch flag &amp; Life-Cycle Factor'!$E$14),'Launch flag &amp; Life-Cycle Factor'!$H$14,IF(AND($E58&gt;='Launch flag &amp; Life-Cycle Factor'!$F$13, $E58&lt;='Launch flag &amp; Life-Cycle Factor'!$E$13),'Launch flag &amp; Life-Cycle Factor'!$H$13, IF(AND($E58&gt;='Launch flag &amp; Life-Cycle Factor'!$F$12, $E58&lt;='Launch flag &amp; Life-Cycle Factor'!$E$12),'Launch flag &amp; Life-Cycle Factor'!$H$12, IF(AND($E58&gt;='Launch flag &amp; Life-Cycle Factor'!$F$11, $E58&lt;='Launch flag &amp; Life-Cycle Factor'!$E$11),'Launch flag &amp; Life-Cycle Factor'!$H$11, IF(AND($E58&gt;='Launch flag &amp; Life-Cycle Factor'!$F$10, $E58&lt;='Launch flag &amp; Life-Cycle Factor'!$E$10),'Launch flag &amp; Life-Cycle Factor'!$H$10, IF(AND($E58&gt;='Launch flag &amp; Life-Cycle Factor'!$F$9, $E58&lt;='Launch flag &amp; Life-Cycle Factor'!$E$9),'Launch flag &amp; Life-Cycle Factor'!$H$9, IF(AND($E58&gt;='Launch flag &amp; Life-Cycle Factor'!$F$8, $E58&lt;='Launch flag &amp; Life-Cycle Factor'!$E$8),'Launch flag &amp; Life-Cycle Factor'!$H$8, IF(AND($E58&gt;='Launch flag &amp; Life-Cycle Factor'!$F$7, $E58&lt;='Launch flag &amp; Life-Cycle Factor'!$E$7),'Launch flag &amp; Life-Cycle Factor'!$H$7, IF(AND($E58&gt;='Launch flag &amp; Life-Cycle Factor'!$F$6, $E58&lt;='Launch flag &amp; Life-Cycle Factor'!$E$6),'Launch flag &amp; Life-Cycle Factor'!$H$6, "-")))))))))))))))))))</f>
        <v>0.65</v>
      </c>
      <c r="Q58" s="655">
        <f>IF(AND($E58&gt;='Launch flag &amp; Life-Cycle Factor'!$F$24, $E58&lt;='Launch flag &amp; Life-Cycle Factor'!$E$24),'Launch flag &amp; Life-Cycle Factor'!$I$24, IF(AND($E58&gt;='Launch flag &amp; Life-Cycle Factor'!$F$23, $E58&lt;='Launch flag &amp; Life-Cycle Factor'!$E$23),'Launch flag &amp; Life-Cycle Factor'!$I$23, IF(AND($E58&gt;='Launch flag &amp; Life-Cycle Factor'!$F$22, $E58&lt;='Launch flag &amp; Life-Cycle Factor'!$E$22),'Launch flag &amp; Life-Cycle Factor'!$I$22, IF(AND($E58&gt;='Launch flag &amp; Life-Cycle Factor'!$F$21, $E58&lt;='Launch flag &amp; Life-Cycle Factor'!$E$21),'Launch flag &amp; Life-Cycle Factor'!$I$21, IF(AND($E58&gt;='Launch flag &amp; Life-Cycle Factor'!$F$20, $E58&lt;='Launch flag &amp; Life-Cycle Factor'!$E$20),'Launch flag &amp; Life-Cycle Factor'!$I$20, IF(AND($E58&gt;='Launch flag &amp; Life-Cycle Factor'!$F$19, $E58&lt;='Launch flag &amp; Life-Cycle Factor'!$E$19),'Launch flag &amp; Life-Cycle Factor'!$I$19, IF(AND($E58&gt;='Launch flag &amp; Life-Cycle Factor'!$F$18, $E58&lt;='Launch flag &amp; Life-Cycle Factor'!$E$18),'Launch flag &amp; Life-Cycle Factor'!$I$18, IF(AND($E58&gt;='Launch flag &amp; Life-Cycle Factor'!$F$17, $E58&lt;='Launch flag &amp; Life-Cycle Factor'!$E$17),'Launch flag &amp; Life-Cycle Factor'!$I$17, IF(AND($E58&gt;='Launch flag &amp; Life-Cycle Factor'!$F$16, $E58&lt;='Launch flag &amp; Life-Cycle Factor'!$E$16),'Launch flag &amp; Life-Cycle Factor'!$I$16,IF(AND($E58&gt;='Launch flag &amp; Life-Cycle Factor'!$F$15, $E58&lt;='Launch flag &amp; Life-Cycle Factor'!$E$15),'Launch flag &amp; Life-Cycle Factor'!$I$15, IF(AND($E58&gt;='Launch flag &amp; Life-Cycle Factor'!$F$14, $E58&lt;='Launch flag &amp; Life-Cycle Factor'!$E$14),'Launch flag &amp; Life-Cycle Factor'!$I$14,IF(AND($E58&gt;='Launch flag &amp; Life-Cycle Factor'!$F$13, $E58&lt;='Launch flag &amp; Life-Cycle Factor'!$E$13),'Launch flag &amp; Life-Cycle Factor'!$I$13, IF(AND($E58&gt;='Launch flag &amp; Life-Cycle Factor'!$F$12, $E58&lt;='Launch flag &amp; Life-Cycle Factor'!$E$12),'Launch flag &amp; Life-Cycle Factor'!$I$12, IF(AND($E58&gt;='Launch flag &amp; Life-Cycle Factor'!$F$11, $E58&lt;='Launch flag &amp; Life-Cycle Factor'!$E$11),'Launch flag &amp; Life-Cycle Factor'!$I$11, IF(AND($E58&gt;='Launch flag &amp; Life-Cycle Factor'!$F$10, $E58&lt;='Launch flag &amp; Life-Cycle Factor'!$E$10),'Launch flag &amp; Life-Cycle Factor'!$I$10, IF(AND($E58&gt;='Launch flag &amp; Life-Cycle Factor'!$F$9, $E58&lt;='Launch flag &amp; Life-Cycle Factor'!$E$9),'Launch flag &amp; Life-Cycle Factor'!$I$9, IF(AND($E58&gt;='Launch flag &amp; Life-Cycle Factor'!$F$8, $E58&lt;='Launch flag &amp; Life-Cycle Factor'!$E$8),'Launch flag &amp; Life-Cycle Factor'!$I$8, IF(AND($E58&gt;='Launch flag &amp; Life-Cycle Factor'!$F$7, $E58&lt;='Launch flag &amp; Life-Cycle Factor'!$E$7),'Launch flag &amp; Life-Cycle Factor'!$I$7, IF(AND($E58&gt;='Launch flag &amp; Life-Cycle Factor'!$F$6, $E58&lt;='Launch flag &amp; Life-Cycle Factor'!$E$6),'Launch flag &amp; Life-Cycle Factor'!$I$6, "-")))))))))))))))))))</f>
        <v>0.35</v>
      </c>
      <c r="R58" s="662">
        <f t="shared" si="0"/>
        <v>192.04331731775861</v>
      </c>
      <c r="S58" s="663">
        <f t="shared" si="1"/>
        <v>93.626483465764863</v>
      </c>
      <c r="T58" s="242">
        <f t="shared" si="2"/>
        <v>192.04331731775861</v>
      </c>
      <c r="U58" s="243">
        <f t="shared" si="3"/>
        <v>93.626483465764863</v>
      </c>
      <c r="V58" s="837">
        <f t="shared" si="4"/>
        <v>285.66980078352344</v>
      </c>
      <c r="W58" s="838">
        <f t="shared" si="5"/>
        <v>285.66980078352344</v>
      </c>
      <c r="X58" s="672"/>
    </row>
    <row r="59" spans="2:24" x14ac:dyDescent="0.35">
      <c r="B59" s="186" t="s">
        <v>43</v>
      </c>
      <c r="C59" s="192" t="s">
        <v>329</v>
      </c>
      <c r="D59" s="206" t="str">
        <f>IF(AND($E59&gt;='Launch flag &amp; Life-Cycle Factor'!$F$24, $E59&lt;='Launch flag &amp; Life-Cycle Factor'!$E$24),'Launch flag &amp; Life-Cycle Factor'!$B$24, IF(AND($E59&gt;='Launch flag &amp; Life-Cycle Factor'!$F$23, $E59&lt;='Launch flag &amp; Life-Cycle Factor'!$E$23),'Launch flag &amp; Life-Cycle Factor'!$B$23, IF(AND($E59&gt;='Launch flag &amp; Life-Cycle Factor'!$F$22, $E59&lt;='Launch flag &amp; Life-Cycle Factor'!$E$22),'Launch flag &amp; Life-Cycle Factor'!$B$22, IF(AND($E59&gt;='Launch flag &amp; Life-Cycle Factor'!$F$21, $E59&lt;='Launch flag &amp; Life-Cycle Factor'!$E$21),'Launch flag &amp; Life-Cycle Factor'!$B$21, IF(AND($E59&gt;='Launch flag &amp; Life-Cycle Factor'!$F$20, $E59&lt;='Launch flag &amp; Life-Cycle Factor'!$E$20),'Launch flag &amp; Life-Cycle Factor'!$B$20, IF(AND($E59&gt;='Launch flag &amp; Life-Cycle Factor'!$F$19, $E59&lt;='Launch flag &amp; Life-Cycle Factor'!$E$19),'Launch flag &amp; Life-Cycle Factor'!$B$19, IF(AND($E59&gt;='Launch flag &amp; Life-Cycle Factor'!$F$18, $E59&lt;='Launch flag &amp; Life-Cycle Factor'!$E$18),'Launch flag &amp; Life-Cycle Factor'!$B$18, IF(AND($E59&gt;='Launch flag &amp; Life-Cycle Factor'!$F$17, $E59&lt;='Launch flag &amp; Life-Cycle Factor'!$E$17),'Launch flag &amp; Life-Cycle Factor'!$B$17, IF(AND($E59&gt;='Launch flag &amp; Life-Cycle Factor'!$F$16, $E59&lt;='Launch flag &amp; Life-Cycle Factor'!$E$16),'Launch flag &amp; Life-Cycle Factor'!$B$16,IF(AND($E59&gt;='Launch flag &amp; Life-Cycle Factor'!$F$15, $E59&lt;='Launch flag &amp; Life-Cycle Factor'!$E$15),'Launch flag &amp; Life-Cycle Factor'!$B$15, IF(AND($E59&gt;='Launch flag &amp; Life-Cycle Factor'!$F$14, $E59&lt;='Launch flag &amp; Life-Cycle Factor'!$E$14),'Launch flag &amp; Life-Cycle Factor'!$B$14,IF(AND($E59&gt;='Launch flag &amp; Life-Cycle Factor'!$F$13, $E59&lt;='Launch flag &amp; Life-Cycle Factor'!$E$13),'Launch flag &amp; Life-Cycle Factor'!$B$13, IF(AND($E59&gt;='Launch flag &amp; Life-Cycle Factor'!$F$12, $E59&lt;='Launch flag &amp; Life-Cycle Factor'!$E$12),'Launch flag &amp; Life-Cycle Factor'!$B$12, IF(AND($E59&gt;='Launch flag &amp; Life-Cycle Factor'!$F$11, $E59&lt;='Launch flag &amp; Life-Cycle Factor'!$E$11),'Launch flag &amp; Life-Cycle Factor'!$B$11, IF(AND($E59&gt;='Launch flag &amp; Life-Cycle Factor'!$F$10, $E59&lt;='Launch flag &amp; Life-Cycle Factor'!$E$10),'Launch flag &amp; Life-Cycle Factor'!$B$10, IF(AND($E59&gt;='Launch flag &amp; Life-Cycle Factor'!$F$9, $E59&lt;='Launch flag &amp; Life-Cycle Factor'!$E$9),'Launch flag &amp; Life-Cycle Factor'!$B$9, IF(AND($E59&gt;='Launch flag &amp; Life-Cycle Factor'!$F$8, $E59&lt;='Launch flag &amp; Life-Cycle Factor'!$E$8),'Launch flag &amp; Life-Cycle Factor'!$B$8, IF(AND($E59&gt;='Launch flag &amp; Life-Cycle Factor'!$F$7, $E59&lt;='Launch flag &amp; Life-Cycle Factor'!$E$7),'Launch flag &amp; Life-Cycle Factor'!$B$7, IF(AND($E59&gt;='Launch flag &amp; Life-Cycle Factor'!$F$6, $E59&lt;='Launch flag &amp; Life-Cycle Factor'!$E$6),'Launch flag &amp; Life-Cycle Factor'!$B$6, "-")))))))))))))))))))</f>
        <v>Established</v>
      </c>
      <c r="E59" s="219">
        <f>INDEX('NPS with launch Dates '!$J$6:$J$59,MATCH('2.  Sales Data Key &amp; Key-Lyn'!$C59,'NPS with launch Dates '!$I$6:$I$59,0))</f>
        <v>44378</v>
      </c>
      <c r="F59" s="197">
        <f>INDEX('Raw Sales Forecasting Data'!$D$11:$H$126,MATCH('2.  Sales Data Key &amp; Key-Lyn'!$C59,'Raw Sales Forecasting Data'!$C$11:$C$126,0),MATCH('2.  Sales Data Key &amp; Key-Lyn'!F$6,'Raw Sales Forecasting Data'!$D$10:$H$10,0))</f>
        <v>1847.1948834669101</v>
      </c>
      <c r="G59" s="198">
        <f>INDEX('Raw Sales Forecasting Data'!$D$11:$H$126,MATCH('2.  Sales Data Key &amp; Key-Lyn'!$C59,'Raw Sales Forecasting Data'!$C$11:$C$126,0),MATCH('2.  Sales Data Key &amp; Key-Lyn'!G$6,'Raw Sales Forecasting Data'!$D$10:$H$10,0))</f>
        <v>1971.9526250215729</v>
      </c>
      <c r="H59" s="198">
        <f>INDEX('Raw Sales Forecasting Data'!$D$11:$H$126,MATCH('2.  Sales Data Key &amp; Key-Lyn'!$C59,'Raw Sales Forecasting Data'!$C$11:$C$126,0),MATCH('2.  Sales Data Key &amp; Key-Lyn'!H$6,'Raw Sales Forecasting Data'!$D$10:$H$10,0))</f>
        <v>1920.6207958798323</v>
      </c>
      <c r="I59" s="198">
        <f>INDEX('Raw Sales Forecasting Data'!$D$11:$H$126,MATCH('2.  Sales Data Key &amp; Key-Lyn'!$C59,'Raw Sales Forecasting Data'!$C$11:$C$126,0),MATCH('2.  Sales Data Key &amp; Key-Lyn'!I$6,'Raw Sales Forecasting Data'!$D$10:$H$10,0))</f>
        <v>1983.179015052933</v>
      </c>
      <c r="J59" s="199">
        <f>INDEX('Raw Sales Forecasting Data'!$D$11:$H$126,MATCH('2.  Sales Data Key &amp; Key-Lyn'!$C59,'Raw Sales Forecasting Data'!$C$11:$C$126,0),MATCH('2.  Sales Data Key &amp; Key-Lyn'!J$6,'Raw Sales Forecasting Data'!$D$10:$H$10,0))</f>
        <v>2042.0389045370198</v>
      </c>
      <c r="K59" s="203">
        <f>INDEX('Raw Sales Forecasting Data'!$J$11:$N$126,MATCH('2.  Sales Data Key &amp; Key-Lyn'!$C59,'Raw Sales Forecasting Data'!$C$11:$C$126,0),MATCH('2.  Sales Data Key &amp; Key-Lyn'!K$6,'Raw Sales Forecasting Data'!$J$10:$N$10,0))</f>
        <v>1847.1948834669101</v>
      </c>
      <c r="L59" s="198">
        <f>INDEX('Raw Sales Forecasting Data'!$J$11:$N$126,MATCH('2.  Sales Data Key &amp; Key-Lyn'!$C59,'Raw Sales Forecasting Data'!$C$11:$C$126,0),MATCH('2.  Sales Data Key &amp; Key-Lyn'!L$6,'Raw Sales Forecasting Data'!$J$10:$N$10,0))</f>
        <v>1971.9526250215729</v>
      </c>
      <c r="M59" s="198">
        <f>INDEX('Raw Sales Forecasting Data'!$J$11:$N$126,MATCH('2.  Sales Data Key &amp; Key-Lyn'!$C59,'Raw Sales Forecasting Data'!$C$11:$C$126,0),MATCH('2.  Sales Data Key &amp; Key-Lyn'!M$6,'Raw Sales Forecasting Data'!$J$10:$N$10,0))</f>
        <v>1920.6207958798323</v>
      </c>
      <c r="N59" s="198">
        <f>INDEX('Raw Sales Forecasting Data'!$J$11:$N$126,MATCH('2.  Sales Data Key &amp; Key-Lyn'!$C59,'Raw Sales Forecasting Data'!$C$11:$C$126,0),MATCH('2.  Sales Data Key &amp; Key-Lyn'!N$6,'Raw Sales Forecasting Data'!$J$10:$N$10,0))</f>
        <v>1983.179015052933</v>
      </c>
      <c r="O59" s="238">
        <f>INDEX('Raw Sales Forecasting Data'!$J$11:$N$126,MATCH('2.  Sales Data Key &amp; Key-Lyn'!$C59,'Raw Sales Forecasting Data'!$C$11:$C$126,0),MATCH('2.  Sales Data Key &amp; Key-Lyn'!O$6,'Raw Sales Forecasting Data'!$J$10:$N$10,0))</f>
        <v>2042.0389045370198</v>
      </c>
      <c r="P59" s="240">
        <f>IF(AND($E59&gt;='Launch flag &amp; Life-Cycle Factor'!$F$24, $E59&lt;='Launch flag &amp; Life-Cycle Factor'!$E$24),'Launch flag &amp; Life-Cycle Factor'!$H$24, IF(AND($E59&gt;='Launch flag &amp; Life-Cycle Factor'!$F$23, $E59&lt;='Launch flag &amp; Life-Cycle Factor'!$E$23),'Launch flag &amp; Life-Cycle Factor'!$H$23, IF(AND($E59&gt;='Launch flag &amp; Life-Cycle Factor'!$F$22, $E59&lt;='Launch flag &amp; Life-Cycle Factor'!$E$22),'Launch flag &amp; Life-Cycle Factor'!$H$22, IF(AND($E59&gt;='Launch flag &amp; Life-Cycle Factor'!$F$21, $E59&lt;='Launch flag &amp; Life-Cycle Factor'!$E$21),'Launch flag &amp; Life-Cycle Factor'!$H$21, IF(AND($E59&gt;='Launch flag &amp; Life-Cycle Factor'!$F$20, $E59&lt;='Launch flag &amp; Life-Cycle Factor'!$E$20),'Launch flag &amp; Life-Cycle Factor'!$H$20, IF(AND($E59&gt;='Launch flag &amp; Life-Cycle Factor'!$F$19, $E59&lt;='Launch flag &amp; Life-Cycle Factor'!$E$19),'Launch flag &amp; Life-Cycle Factor'!$H$19, IF(AND($E59&gt;='Launch flag &amp; Life-Cycle Factor'!$F$18, $E59&lt;='Launch flag &amp; Life-Cycle Factor'!$E$18),'Launch flag &amp; Life-Cycle Factor'!$H$18, IF(AND($E59&gt;='Launch flag &amp; Life-Cycle Factor'!$F$17, $E59&lt;='Launch flag &amp; Life-Cycle Factor'!$E$17),'Launch flag &amp; Life-Cycle Factor'!$H$17, IF(AND($E59&gt;='Launch flag &amp; Life-Cycle Factor'!$F$16, $E59&lt;='Launch flag &amp; Life-Cycle Factor'!$E$16),'Launch flag &amp; Life-Cycle Factor'!$H$16,IF(AND($E59&gt;='Launch flag &amp; Life-Cycle Factor'!$F$15, $E59&lt;='Launch flag &amp; Life-Cycle Factor'!$E$15),'Launch flag &amp; Life-Cycle Factor'!$H$15, IF(AND($E59&gt;='Launch flag &amp; Life-Cycle Factor'!$F$14, $E59&lt;='Launch flag &amp; Life-Cycle Factor'!$E$14),'Launch flag &amp; Life-Cycle Factor'!$H$14,IF(AND($E59&gt;='Launch flag &amp; Life-Cycle Factor'!$F$13, $E59&lt;='Launch flag &amp; Life-Cycle Factor'!$E$13),'Launch flag &amp; Life-Cycle Factor'!$H$13, IF(AND($E59&gt;='Launch flag &amp; Life-Cycle Factor'!$F$12, $E59&lt;='Launch flag &amp; Life-Cycle Factor'!$E$12),'Launch flag &amp; Life-Cycle Factor'!$H$12, IF(AND($E59&gt;='Launch flag &amp; Life-Cycle Factor'!$F$11, $E59&lt;='Launch flag &amp; Life-Cycle Factor'!$E$11),'Launch flag &amp; Life-Cycle Factor'!$H$11, IF(AND($E59&gt;='Launch flag &amp; Life-Cycle Factor'!$F$10, $E59&lt;='Launch flag &amp; Life-Cycle Factor'!$E$10),'Launch flag &amp; Life-Cycle Factor'!$H$10, IF(AND($E59&gt;='Launch flag &amp; Life-Cycle Factor'!$F$9, $E59&lt;='Launch flag &amp; Life-Cycle Factor'!$E$9),'Launch flag &amp; Life-Cycle Factor'!$H$9, IF(AND($E59&gt;='Launch flag &amp; Life-Cycle Factor'!$F$8, $E59&lt;='Launch flag &amp; Life-Cycle Factor'!$E$8),'Launch flag &amp; Life-Cycle Factor'!$H$8, IF(AND($E59&gt;='Launch flag &amp; Life-Cycle Factor'!$F$7, $E59&lt;='Launch flag &amp; Life-Cycle Factor'!$E$7),'Launch flag &amp; Life-Cycle Factor'!$H$7, IF(AND($E59&gt;='Launch flag &amp; Life-Cycle Factor'!$F$6, $E59&lt;='Launch flag &amp; Life-Cycle Factor'!$E$6),'Launch flag &amp; Life-Cycle Factor'!$H$6, "-")))))))))))))))))))</f>
        <v>0.65</v>
      </c>
      <c r="Q59" s="655">
        <f>IF(AND($E59&gt;='Launch flag &amp; Life-Cycle Factor'!$F$24, $E59&lt;='Launch flag &amp; Life-Cycle Factor'!$E$24),'Launch flag &amp; Life-Cycle Factor'!$I$24, IF(AND($E59&gt;='Launch flag &amp; Life-Cycle Factor'!$F$23, $E59&lt;='Launch flag &amp; Life-Cycle Factor'!$E$23),'Launch flag &amp; Life-Cycle Factor'!$I$23, IF(AND($E59&gt;='Launch flag &amp; Life-Cycle Factor'!$F$22, $E59&lt;='Launch flag &amp; Life-Cycle Factor'!$E$22),'Launch flag &amp; Life-Cycle Factor'!$I$22, IF(AND($E59&gt;='Launch flag &amp; Life-Cycle Factor'!$F$21, $E59&lt;='Launch flag &amp; Life-Cycle Factor'!$E$21),'Launch flag &amp; Life-Cycle Factor'!$I$21, IF(AND($E59&gt;='Launch flag &amp; Life-Cycle Factor'!$F$20, $E59&lt;='Launch flag &amp; Life-Cycle Factor'!$E$20),'Launch flag &amp; Life-Cycle Factor'!$I$20, IF(AND($E59&gt;='Launch flag &amp; Life-Cycle Factor'!$F$19, $E59&lt;='Launch flag &amp; Life-Cycle Factor'!$E$19),'Launch flag &amp; Life-Cycle Factor'!$I$19, IF(AND($E59&gt;='Launch flag &amp; Life-Cycle Factor'!$F$18, $E59&lt;='Launch flag &amp; Life-Cycle Factor'!$E$18),'Launch flag &amp; Life-Cycle Factor'!$I$18, IF(AND($E59&gt;='Launch flag &amp; Life-Cycle Factor'!$F$17, $E59&lt;='Launch flag &amp; Life-Cycle Factor'!$E$17),'Launch flag &amp; Life-Cycle Factor'!$I$17, IF(AND($E59&gt;='Launch flag &amp; Life-Cycle Factor'!$F$16, $E59&lt;='Launch flag &amp; Life-Cycle Factor'!$E$16),'Launch flag &amp; Life-Cycle Factor'!$I$16,IF(AND($E59&gt;='Launch flag &amp; Life-Cycle Factor'!$F$15, $E59&lt;='Launch flag &amp; Life-Cycle Factor'!$E$15),'Launch flag &amp; Life-Cycle Factor'!$I$15, IF(AND($E59&gt;='Launch flag &amp; Life-Cycle Factor'!$F$14, $E59&lt;='Launch flag &amp; Life-Cycle Factor'!$E$14),'Launch flag &amp; Life-Cycle Factor'!$I$14,IF(AND($E59&gt;='Launch flag &amp; Life-Cycle Factor'!$F$13, $E59&lt;='Launch flag &amp; Life-Cycle Factor'!$E$13),'Launch flag &amp; Life-Cycle Factor'!$I$13, IF(AND($E59&gt;='Launch flag &amp; Life-Cycle Factor'!$F$12, $E59&lt;='Launch flag &amp; Life-Cycle Factor'!$E$12),'Launch flag &amp; Life-Cycle Factor'!$I$12, IF(AND($E59&gt;='Launch flag &amp; Life-Cycle Factor'!$F$11, $E59&lt;='Launch flag &amp; Life-Cycle Factor'!$E$11),'Launch flag &amp; Life-Cycle Factor'!$I$11, IF(AND($E59&gt;='Launch flag &amp; Life-Cycle Factor'!$F$10, $E59&lt;='Launch flag &amp; Life-Cycle Factor'!$E$10),'Launch flag &amp; Life-Cycle Factor'!$I$10, IF(AND($E59&gt;='Launch flag &amp; Life-Cycle Factor'!$F$9, $E59&lt;='Launch flag &amp; Life-Cycle Factor'!$E$9),'Launch flag &amp; Life-Cycle Factor'!$I$9, IF(AND($E59&gt;='Launch flag &amp; Life-Cycle Factor'!$F$8, $E59&lt;='Launch flag &amp; Life-Cycle Factor'!$E$8),'Launch flag &amp; Life-Cycle Factor'!$I$8, IF(AND($E59&gt;='Launch flag &amp; Life-Cycle Factor'!$F$7, $E59&lt;='Launch flag &amp; Life-Cycle Factor'!$E$7),'Launch flag &amp; Life-Cycle Factor'!$I$7, IF(AND($E59&gt;='Launch flag &amp; Life-Cycle Factor'!$F$6, $E59&lt;='Launch flag &amp; Life-Cycle Factor'!$E$6),'Launch flag &amp; Life-Cycle Factor'!$I$6, "-")))))))))))))))))))</f>
        <v>0.35</v>
      </c>
      <c r="R59" s="662">
        <f t="shared" si="0"/>
        <v>1281.7692062640224</v>
      </c>
      <c r="S59" s="663">
        <f t="shared" si="1"/>
        <v>672.2172785579412</v>
      </c>
      <c r="T59" s="242">
        <f t="shared" si="2"/>
        <v>1281.7692062640224</v>
      </c>
      <c r="U59" s="243">
        <f t="shared" si="3"/>
        <v>672.2172785579412</v>
      </c>
      <c r="V59" s="837">
        <f t="shared" si="4"/>
        <v>1953.9864848219636</v>
      </c>
      <c r="W59" s="838">
        <f t="shared" si="5"/>
        <v>1953.9864848219636</v>
      </c>
      <c r="X59" s="672"/>
    </row>
    <row r="60" spans="2:24" ht="15" thickBot="1" x14ac:dyDescent="0.4">
      <c r="B60" s="187" t="s">
        <v>43</v>
      </c>
      <c r="C60" s="193" t="s">
        <v>336</v>
      </c>
      <c r="D60" s="207" t="str">
        <f>IF(AND($E60&gt;='Launch flag &amp; Life-Cycle Factor'!$F$24, $E60&lt;='Launch flag &amp; Life-Cycle Factor'!$E$24),'Launch flag &amp; Life-Cycle Factor'!$B$24, IF(AND($E60&gt;='Launch flag &amp; Life-Cycle Factor'!$F$23, $E60&lt;='Launch flag &amp; Life-Cycle Factor'!$E$23),'Launch flag &amp; Life-Cycle Factor'!$B$23, IF(AND($E60&gt;='Launch flag &amp; Life-Cycle Factor'!$F$22, $E60&lt;='Launch flag &amp; Life-Cycle Factor'!$E$22),'Launch flag &amp; Life-Cycle Factor'!$B$22, IF(AND($E60&gt;='Launch flag &amp; Life-Cycle Factor'!$F$21, $E60&lt;='Launch flag &amp; Life-Cycle Factor'!$E$21),'Launch flag &amp; Life-Cycle Factor'!$B$21, IF(AND($E60&gt;='Launch flag &amp; Life-Cycle Factor'!$F$20, $E60&lt;='Launch flag &amp; Life-Cycle Factor'!$E$20),'Launch flag &amp; Life-Cycle Factor'!$B$20, IF(AND($E60&gt;='Launch flag &amp; Life-Cycle Factor'!$F$19, $E60&lt;='Launch flag &amp; Life-Cycle Factor'!$E$19),'Launch flag &amp; Life-Cycle Factor'!$B$19, IF(AND($E60&gt;='Launch flag &amp; Life-Cycle Factor'!$F$18, $E60&lt;='Launch flag &amp; Life-Cycle Factor'!$E$18),'Launch flag &amp; Life-Cycle Factor'!$B$18, IF(AND($E60&gt;='Launch flag &amp; Life-Cycle Factor'!$F$17, $E60&lt;='Launch flag &amp; Life-Cycle Factor'!$E$17),'Launch flag &amp; Life-Cycle Factor'!$B$17, IF(AND($E60&gt;='Launch flag &amp; Life-Cycle Factor'!$F$16, $E60&lt;='Launch flag &amp; Life-Cycle Factor'!$E$16),'Launch flag &amp; Life-Cycle Factor'!$B$16,IF(AND($E60&gt;='Launch flag &amp; Life-Cycle Factor'!$F$15, $E60&lt;='Launch flag &amp; Life-Cycle Factor'!$E$15),'Launch flag &amp; Life-Cycle Factor'!$B$15, IF(AND($E60&gt;='Launch flag &amp; Life-Cycle Factor'!$F$14, $E60&lt;='Launch flag &amp; Life-Cycle Factor'!$E$14),'Launch flag &amp; Life-Cycle Factor'!$B$14,IF(AND($E60&gt;='Launch flag &amp; Life-Cycle Factor'!$F$13, $E60&lt;='Launch flag &amp; Life-Cycle Factor'!$E$13),'Launch flag &amp; Life-Cycle Factor'!$B$13, IF(AND($E60&gt;='Launch flag &amp; Life-Cycle Factor'!$F$12, $E60&lt;='Launch flag &amp; Life-Cycle Factor'!$E$12),'Launch flag &amp; Life-Cycle Factor'!$B$12, IF(AND($E60&gt;='Launch flag &amp; Life-Cycle Factor'!$F$11, $E60&lt;='Launch flag &amp; Life-Cycle Factor'!$E$11),'Launch flag &amp; Life-Cycle Factor'!$B$11, IF(AND($E60&gt;='Launch flag &amp; Life-Cycle Factor'!$F$10, $E60&lt;='Launch flag &amp; Life-Cycle Factor'!$E$10),'Launch flag &amp; Life-Cycle Factor'!$B$10, IF(AND($E60&gt;='Launch flag &amp; Life-Cycle Factor'!$F$9, $E60&lt;='Launch flag &amp; Life-Cycle Factor'!$E$9),'Launch flag &amp; Life-Cycle Factor'!$B$9, IF(AND($E60&gt;='Launch flag &amp; Life-Cycle Factor'!$F$8, $E60&lt;='Launch flag &amp; Life-Cycle Factor'!$E$8),'Launch flag &amp; Life-Cycle Factor'!$B$8, IF(AND($E60&gt;='Launch flag &amp; Life-Cycle Factor'!$F$7, $E60&lt;='Launch flag &amp; Life-Cycle Factor'!$E$7),'Launch flag &amp; Life-Cycle Factor'!$B$7, IF(AND($E60&gt;='Launch flag &amp; Life-Cycle Factor'!$F$6, $E60&lt;='Launch flag &amp; Life-Cycle Factor'!$E$6),'Launch flag &amp; Life-Cycle Factor'!$B$6, "-")))))))))))))))))))</f>
        <v>Mature</v>
      </c>
      <c r="E60" s="220">
        <f>INDEX('NPS with launch Dates '!$J$6:$J$59,MATCH('2.  Sales Data Key &amp; Key-Lyn'!$C60,'NPS with launch Dates '!$I$6:$I$59,0))</f>
        <v>43101</v>
      </c>
      <c r="F60" s="200">
        <f>INDEX('Raw Sales Forecasting Data'!$D$11:$H$126,MATCH('2.  Sales Data Key &amp; Key-Lyn'!$C60,'Raw Sales Forecasting Data'!$C$11:$C$126,0),MATCH('2.  Sales Data Key &amp; Key-Lyn'!F$6,'Raw Sales Forecasting Data'!$D$10:$H$10,0))</f>
        <v>34.002588036138448</v>
      </c>
      <c r="G60" s="201">
        <f>INDEX('Raw Sales Forecasting Data'!$D$11:$H$126,MATCH('2.  Sales Data Key &amp; Key-Lyn'!$C60,'Raw Sales Forecasting Data'!$C$11:$C$126,0),MATCH('2.  Sales Data Key &amp; Key-Lyn'!G$6,'Raw Sales Forecasting Data'!$D$10:$H$10,0))</f>
        <v>297.63515415904652</v>
      </c>
      <c r="H60" s="201">
        <f>INDEX('Raw Sales Forecasting Data'!$D$11:$H$126,MATCH('2.  Sales Data Key &amp; Key-Lyn'!$C60,'Raw Sales Forecasting Data'!$C$11:$C$126,0),MATCH('2.  Sales Data Key &amp; Key-Lyn'!H$6,'Raw Sales Forecasting Data'!$D$10:$H$10,0))</f>
        <v>356.66703208096573</v>
      </c>
      <c r="I60" s="201">
        <f>INDEX('Raw Sales Forecasting Data'!$D$11:$H$126,MATCH('2.  Sales Data Key &amp; Key-Lyn'!$C60,'Raw Sales Forecasting Data'!$C$11:$C$126,0),MATCH('2.  Sales Data Key &amp; Key-Lyn'!I$6,'Raw Sales Forecasting Data'!$D$10:$H$10,0))</f>
        <v>318.20275021007421</v>
      </c>
      <c r="J60" s="202">
        <f>INDEX('Raw Sales Forecasting Data'!$D$11:$H$126,MATCH('2.  Sales Data Key &amp; Key-Lyn'!$C60,'Raw Sales Forecasting Data'!$C$11:$C$126,0),MATCH('2.  Sales Data Key &amp; Key-Lyn'!J$6,'Raw Sales Forecasting Data'!$D$10:$H$10,0))</f>
        <v>310.65482044552306</v>
      </c>
      <c r="K60" s="204">
        <f>INDEX('Raw Sales Forecasting Data'!$J$11:$N$126,MATCH('2.  Sales Data Key &amp; Key-Lyn'!$C60,'Raw Sales Forecasting Data'!$C$11:$C$126,0),MATCH('2.  Sales Data Key &amp; Key-Lyn'!K$6,'Raw Sales Forecasting Data'!$J$10:$N$10,0))</f>
        <v>34.002588036138448</v>
      </c>
      <c r="L60" s="201">
        <f>INDEX('Raw Sales Forecasting Data'!$J$11:$N$126,MATCH('2.  Sales Data Key &amp; Key-Lyn'!$C60,'Raw Sales Forecasting Data'!$C$11:$C$126,0),MATCH('2.  Sales Data Key &amp; Key-Lyn'!L$6,'Raw Sales Forecasting Data'!$J$10:$N$10,0))</f>
        <v>297.63515415904652</v>
      </c>
      <c r="M60" s="201">
        <f>INDEX('Raw Sales Forecasting Data'!$J$11:$N$126,MATCH('2.  Sales Data Key &amp; Key-Lyn'!$C60,'Raw Sales Forecasting Data'!$C$11:$C$126,0),MATCH('2.  Sales Data Key &amp; Key-Lyn'!M$6,'Raw Sales Forecasting Data'!$J$10:$N$10,0))</f>
        <v>356.66703208096573</v>
      </c>
      <c r="N60" s="201">
        <f>INDEX('Raw Sales Forecasting Data'!$J$11:$N$126,MATCH('2.  Sales Data Key &amp; Key-Lyn'!$C60,'Raw Sales Forecasting Data'!$C$11:$C$126,0),MATCH('2.  Sales Data Key &amp; Key-Lyn'!N$6,'Raw Sales Forecasting Data'!$J$10:$N$10,0))</f>
        <v>318.20275021007421</v>
      </c>
      <c r="O60" s="239">
        <f>INDEX('Raw Sales Forecasting Data'!$J$11:$N$126,MATCH('2.  Sales Data Key &amp; Key-Lyn'!$C60,'Raw Sales Forecasting Data'!$C$11:$C$126,0),MATCH('2.  Sales Data Key &amp; Key-Lyn'!O$6,'Raw Sales Forecasting Data'!$J$10:$N$10,0))</f>
        <v>310.65482044552306</v>
      </c>
      <c r="P60" s="241">
        <f>IF(AND($E60&gt;='Launch flag &amp; Life-Cycle Factor'!$F$24, $E60&lt;='Launch flag &amp; Life-Cycle Factor'!$E$24),'Launch flag &amp; Life-Cycle Factor'!$H$24, IF(AND($E60&gt;='Launch flag &amp; Life-Cycle Factor'!$F$23, $E60&lt;='Launch flag &amp; Life-Cycle Factor'!$E$23),'Launch flag &amp; Life-Cycle Factor'!$H$23, IF(AND($E60&gt;='Launch flag &amp; Life-Cycle Factor'!$F$22, $E60&lt;='Launch flag &amp; Life-Cycle Factor'!$E$22),'Launch flag &amp; Life-Cycle Factor'!$H$22, IF(AND($E60&gt;='Launch flag &amp; Life-Cycle Factor'!$F$21, $E60&lt;='Launch flag &amp; Life-Cycle Factor'!$E$21),'Launch flag &amp; Life-Cycle Factor'!$H$21, IF(AND($E60&gt;='Launch flag &amp; Life-Cycle Factor'!$F$20, $E60&lt;='Launch flag &amp; Life-Cycle Factor'!$E$20),'Launch flag &amp; Life-Cycle Factor'!$H$20, IF(AND($E60&gt;='Launch flag &amp; Life-Cycle Factor'!$F$19, $E60&lt;='Launch flag &amp; Life-Cycle Factor'!$E$19),'Launch flag &amp; Life-Cycle Factor'!$H$19, IF(AND($E60&gt;='Launch flag &amp; Life-Cycle Factor'!$F$18, $E60&lt;='Launch flag &amp; Life-Cycle Factor'!$E$18),'Launch flag &amp; Life-Cycle Factor'!$H$18, IF(AND($E60&gt;='Launch flag &amp; Life-Cycle Factor'!$F$17, $E60&lt;='Launch flag &amp; Life-Cycle Factor'!$E$17),'Launch flag &amp; Life-Cycle Factor'!$H$17, IF(AND($E60&gt;='Launch flag &amp; Life-Cycle Factor'!$F$16, $E60&lt;='Launch flag &amp; Life-Cycle Factor'!$E$16),'Launch flag &amp; Life-Cycle Factor'!$H$16,IF(AND($E60&gt;='Launch flag &amp; Life-Cycle Factor'!$F$15, $E60&lt;='Launch flag &amp; Life-Cycle Factor'!$E$15),'Launch flag &amp; Life-Cycle Factor'!$H$15, IF(AND($E60&gt;='Launch flag &amp; Life-Cycle Factor'!$F$14, $E60&lt;='Launch flag &amp; Life-Cycle Factor'!$E$14),'Launch flag &amp; Life-Cycle Factor'!$H$14,IF(AND($E60&gt;='Launch flag &amp; Life-Cycle Factor'!$F$13, $E60&lt;='Launch flag &amp; Life-Cycle Factor'!$E$13),'Launch flag &amp; Life-Cycle Factor'!$H$13, IF(AND($E60&gt;='Launch flag &amp; Life-Cycle Factor'!$F$12, $E60&lt;='Launch flag &amp; Life-Cycle Factor'!$E$12),'Launch flag &amp; Life-Cycle Factor'!$H$12, IF(AND($E60&gt;='Launch flag &amp; Life-Cycle Factor'!$F$11, $E60&lt;='Launch flag &amp; Life-Cycle Factor'!$E$11),'Launch flag &amp; Life-Cycle Factor'!$H$11, IF(AND($E60&gt;='Launch flag &amp; Life-Cycle Factor'!$F$10, $E60&lt;='Launch flag &amp; Life-Cycle Factor'!$E$10),'Launch flag &amp; Life-Cycle Factor'!$H$10, IF(AND($E60&gt;='Launch flag &amp; Life-Cycle Factor'!$F$9, $E60&lt;='Launch flag &amp; Life-Cycle Factor'!$E$9),'Launch flag &amp; Life-Cycle Factor'!$H$9, IF(AND($E60&gt;='Launch flag &amp; Life-Cycle Factor'!$F$8, $E60&lt;='Launch flag &amp; Life-Cycle Factor'!$E$8),'Launch flag &amp; Life-Cycle Factor'!$H$8, IF(AND($E60&gt;='Launch flag &amp; Life-Cycle Factor'!$F$7, $E60&lt;='Launch flag &amp; Life-Cycle Factor'!$E$7),'Launch flag &amp; Life-Cycle Factor'!$H$7, IF(AND($E60&gt;='Launch flag &amp; Life-Cycle Factor'!$F$6, $E60&lt;='Launch flag &amp; Life-Cycle Factor'!$E$6),'Launch flag &amp; Life-Cycle Factor'!$H$6, "-")))))))))))))))))))</f>
        <v>0.65</v>
      </c>
      <c r="Q60" s="659">
        <f>IF(AND($E60&gt;='Launch flag &amp; Life-Cycle Factor'!$F$24, $E60&lt;='Launch flag &amp; Life-Cycle Factor'!$E$24),'Launch flag &amp; Life-Cycle Factor'!$I$24, IF(AND($E60&gt;='Launch flag &amp; Life-Cycle Factor'!$F$23, $E60&lt;='Launch flag &amp; Life-Cycle Factor'!$E$23),'Launch flag &amp; Life-Cycle Factor'!$I$23, IF(AND($E60&gt;='Launch flag &amp; Life-Cycle Factor'!$F$22, $E60&lt;='Launch flag &amp; Life-Cycle Factor'!$E$22),'Launch flag &amp; Life-Cycle Factor'!$I$22, IF(AND($E60&gt;='Launch flag &amp; Life-Cycle Factor'!$F$21, $E60&lt;='Launch flag &amp; Life-Cycle Factor'!$E$21),'Launch flag &amp; Life-Cycle Factor'!$I$21, IF(AND($E60&gt;='Launch flag &amp; Life-Cycle Factor'!$F$20, $E60&lt;='Launch flag &amp; Life-Cycle Factor'!$E$20),'Launch flag &amp; Life-Cycle Factor'!$I$20, IF(AND($E60&gt;='Launch flag &amp; Life-Cycle Factor'!$F$19, $E60&lt;='Launch flag &amp; Life-Cycle Factor'!$E$19),'Launch flag &amp; Life-Cycle Factor'!$I$19, IF(AND($E60&gt;='Launch flag &amp; Life-Cycle Factor'!$F$18, $E60&lt;='Launch flag &amp; Life-Cycle Factor'!$E$18),'Launch flag &amp; Life-Cycle Factor'!$I$18, IF(AND($E60&gt;='Launch flag &amp; Life-Cycle Factor'!$F$17, $E60&lt;='Launch flag &amp; Life-Cycle Factor'!$E$17),'Launch flag &amp; Life-Cycle Factor'!$I$17, IF(AND($E60&gt;='Launch flag &amp; Life-Cycle Factor'!$F$16, $E60&lt;='Launch flag &amp; Life-Cycle Factor'!$E$16),'Launch flag &amp; Life-Cycle Factor'!$I$16,IF(AND($E60&gt;='Launch flag &amp; Life-Cycle Factor'!$F$15, $E60&lt;='Launch flag &amp; Life-Cycle Factor'!$E$15),'Launch flag &amp; Life-Cycle Factor'!$I$15, IF(AND($E60&gt;='Launch flag &amp; Life-Cycle Factor'!$F$14, $E60&lt;='Launch flag &amp; Life-Cycle Factor'!$E$14),'Launch flag &amp; Life-Cycle Factor'!$I$14,IF(AND($E60&gt;='Launch flag &amp; Life-Cycle Factor'!$F$13, $E60&lt;='Launch flag &amp; Life-Cycle Factor'!$E$13),'Launch flag &amp; Life-Cycle Factor'!$I$13, IF(AND($E60&gt;='Launch flag &amp; Life-Cycle Factor'!$F$12, $E60&lt;='Launch flag &amp; Life-Cycle Factor'!$E$12),'Launch flag &amp; Life-Cycle Factor'!$I$12, IF(AND($E60&gt;='Launch flag &amp; Life-Cycle Factor'!$F$11, $E60&lt;='Launch flag &amp; Life-Cycle Factor'!$E$11),'Launch flag &amp; Life-Cycle Factor'!$I$11, IF(AND($E60&gt;='Launch flag &amp; Life-Cycle Factor'!$F$10, $E60&lt;='Launch flag &amp; Life-Cycle Factor'!$E$10),'Launch flag &amp; Life-Cycle Factor'!$I$10, IF(AND($E60&gt;='Launch flag &amp; Life-Cycle Factor'!$F$9, $E60&lt;='Launch flag &amp; Life-Cycle Factor'!$E$9),'Launch flag &amp; Life-Cycle Factor'!$I$9, IF(AND($E60&gt;='Launch flag &amp; Life-Cycle Factor'!$F$8, $E60&lt;='Launch flag &amp; Life-Cycle Factor'!$E$8),'Launch flag &amp; Life-Cycle Factor'!$I$8, IF(AND($E60&gt;='Launch flag &amp; Life-Cycle Factor'!$F$7, $E60&lt;='Launch flag &amp; Life-Cycle Factor'!$E$7),'Launch flag &amp; Life-Cycle Factor'!$I$7, IF(AND($E60&gt;='Launch flag &amp; Life-Cycle Factor'!$F$6, $E60&lt;='Launch flag &amp; Life-Cycle Factor'!$E$6),'Launch flag &amp; Life-Cycle Factor'!$I$6, "-")))))))))))))))))))</f>
        <v>0.35</v>
      </c>
      <c r="R60" s="668">
        <f t="shared" si="0"/>
        <v>193.46285020338024</v>
      </c>
      <c r="S60" s="669">
        <f t="shared" si="1"/>
        <v>124.833461228338</v>
      </c>
      <c r="T60" s="244">
        <f t="shared" si="2"/>
        <v>193.46285020338024</v>
      </c>
      <c r="U60" s="245">
        <f t="shared" si="3"/>
        <v>124.833461228338</v>
      </c>
      <c r="V60" s="843">
        <f t="shared" si="4"/>
        <v>318.29631143171821</v>
      </c>
      <c r="W60" s="844">
        <f t="shared" si="5"/>
        <v>318.29631143171821</v>
      </c>
      <c r="X60" s="672"/>
    </row>
    <row r="61" spans="2:24" x14ac:dyDescent="0.35">
      <c r="W61" s="845">
        <f>SUM(W7:W60)</f>
        <v>13241.072990448789</v>
      </c>
    </row>
  </sheetData>
  <autoFilter ref="B6:W61" xr:uid="{44D183DC-A1F2-4808-9FA3-1037931A7CA3}"/>
  <mergeCells count="4">
    <mergeCell ref="F5:J5"/>
    <mergeCell ref="K5:O5"/>
    <mergeCell ref="T5:U5"/>
    <mergeCell ref="R5:S5"/>
  </mergeCells>
  <phoneticPr fontId="33" type="noConversion"/>
  <pageMargins left="0.7" right="0.7" top="0.75" bottom="0.75" header="0.3" footer="0.3"/>
  <pageSetup paperSize="9" orientation="portrait" r:id="rId1"/>
  <headerFooter>
    <oddHeader>&amp;L&amp;"Calibri"&amp;12&amp;K8E6A00Confidential&amp;1#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328C-3C23-43D5-B522-1E63BE5A1BFD}">
  <sheetPr>
    <tabColor theme="4" tint="0.39997558519241921"/>
  </sheetPr>
  <dimension ref="B2:M36"/>
  <sheetViews>
    <sheetView tabSelected="1" topLeftCell="C22" zoomScale="145" zoomScaleNormal="145" workbookViewId="0">
      <selection activeCell="D24" sqref="D24"/>
    </sheetView>
  </sheetViews>
  <sheetFormatPr defaultRowHeight="14.5" x14ac:dyDescent="0.35"/>
  <cols>
    <col min="1" max="1" width="8.7265625" style="4"/>
    <col min="2" max="2" width="36.453125" style="4" bestFit="1" customWidth="1"/>
    <col min="3" max="3" width="35.26953125" style="4" bestFit="1" customWidth="1"/>
    <col min="4" max="4" width="62.90625" style="4" bestFit="1" customWidth="1"/>
    <col min="5" max="5" width="8.7265625" style="4"/>
    <col min="6" max="6" width="18.26953125" style="4" bestFit="1" customWidth="1"/>
    <col min="7" max="7" width="8" style="4" bestFit="1" customWidth="1"/>
    <col min="8" max="8" width="8.36328125" style="4" bestFit="1" customWidth="1"/>
    <col min="9" max="9" width="12.08984375" style="4" bestFit="1" customWidth="1"/>
    <col min="10" max="10" width="17.7265625" style="4" bestFit="1" customWidth="1"/>
    <col min="11" max="11" width="12.08984375" style="4" bestFit="1" customWidth="1"/>
    <col min="12" max="12" width="19.81640625" style="4" customWidth="1"/>
    <col min="13" max="13" width="13" style="4" bestFit="1" customWidth="1"/>
    <col min="14" max="16384" width="8.7265625" style="4"/>
  </cols>
  <sheetData>
    <row r="2" spans="2:13" ht="15" thickBot="1" x14ac:dyDescent="0.4"/>
    <row r="3" spans="2:13" ht="37" customHeight="1" thickBot="1" x14ac:dyDescent="0.4">
      <c r="B3" s="561" t="s">
        <v>867</v>
      </c>
      <c r="C3" s="154" t="s">
        <v>868</v>
      </c>
      <c r="D3" s="633" t="s">
        <v>869</v>
      </c>
      <c r="F3" s="729" t="s">
        <v>355</v>
      </c>
      <c r="G3" s="730" t="s">
        <v>936</v>
      </c>
      <c r="H3" s="730" t="s">
        <v>937</v>
      </c>
      <c r="I3" s="731" t="s">
        <v>938</v>
      </c>
      <c r="J3" s="731" t="s">
        <v>939</v>
      </c>
      <c r="K3" s="731" t="s">
        <v>940</v>
      </c>
      <c r="L3" s="731" t="s">
        <v>941</v>
      </c>
    </row>
    <row r="4" spans="2:13" x14ac:dyDescent="0.35">
      <c r="B4" s="644" t="s">
        <v>804</v>
      </c>
      <c r="C4" s="634">
        <v>33887200</v>
      </c>
      <c r="D4" s="635" t="s">
        <v>870</v>
      </c>
      <c r="F4" s="722" t="s">
        <v>942</v>
      </c>
      <c r="G4" s="723" t="s">
        <v>943</v>
      </c>
      <c r="H4" s="723" t="s">
        <v>943</v>
      </c>
      <c r="I4" s="724">
        <v>4.720104033260287</v>
      </c>
      <c r="J4" s="724">
        <v>4.720104033260287</v>
      </c>
      <c r="K4" s="724">
        <v>5.1990019476327296</v>
      </c>
      <c r="L4" s="725">
        <v>5.1990019476327296</v>
      </c>
    </row>
    <row r="5" spans="2:13" x14ac:dyDescent="0.35">
      <c r="B5" s="645" t="s">
        <v>871</v>
      </c>
      <c r="C5" s="636">
        <v>21383110</v>
      </c>
      <c r="D5" s="637" t="s">
        <v>870</v>
      </c>
      <c r="F5" s="722" t="s">
        <v>43</v>
      </c>
      <c r="G5" s="726">
        <v>414.13549308660299</v>
      </c>
      <c r="H5" s="726">
        <v>505.91067160994999</v>
      </c>
      <c r="I5" s="724">
        <v>445.47758887279349</v>
      </c>
      <c r="J5" s="724">
        <v>445.47758887279349</v>
      </c>
      <c r="K5" s="724">
        <v>490.67538254588919</v>
      </c>
      <c r="L5" s="725">
        <v>471</v>
      </c>
      <c r="M5" s="802">
        <f>K5-20</f>
        <v>470.67538254588919</v>
      </c>
    </row>
    <row r="6" spans="2:13" x14ac:dyDescent="0.35">
      <c r="B6" s="645" t="s">
        <v>872</v>
      </c>
      <c r="C6" s="636">
        <v>11940954</v>
      </c>
      <c r="D6" s="637" t="s">
        <v>870</v>
      </c>
      <c r="F6" s="722" t="s">
        <v>138</v>
      </c>
      <c r="G6" s="726">
        <v>45.594806384512864</v>
      </c>
      <c r="H6" s="726">
        <v>68.110760154642691</v>
      </c>
      <c r="I6" s="724">
        <v>54.037805157142877</v>
      </c>
      <c r="J6" s="724">
        <v>54.037805157142877</v>
      </c>
      <c r="K6" s="724">
        <v>59.520436896754177</v>
      </c>
      <c r="L6" s="725">
        <v>60</v>
      </c>
    </row>
    <row r="7" spans="2:13" x14ac:dyDescent="0.35">
      <c r="B7" s="645" t="s">
        <v>873</v>
      </c>
      <c r="C7" s="636">
        <v>9615168</v>
      </c>
      <c r="D7" s="637" t="s">
        <v>870</v>
      </c>
      <c r="F7" s="722" t="s">
        <v>421</v>
      </c>
      <c r="G7" s="726">
        <v>38</v>
      </c>
      <c r="H7" s="726">
        <v>56</v>
      </c>
      <c r="I7" s="724">
        <v>18.674076114198868</v>
      </c>
      <c r="J7" s="724">
        <v>40</v>
      </c>
      <c r="K7" s="724">
        <v>20.568732681279862</v>
      </c>
      <c r="L7" s="725">
        <v>40</v>
      </c>
    </row>
    <row r="8" spans="2:13" x14ac:dyDescent="0.35">
      <c r="B8" s="645" t="s">
        <v>874</v>
      </c>
      <c r="C8" s="636">
        <v>6837064</v>
      </c>
      <c r="D8" s="637" t="s">
        <v>870</v>
      </c>
      <c r="F8" s="722" t="s">
        <v>304</v>
      </c>
      <c r="G8" s="723" t="s">
        <v>943</v>
      </c>
      <c r="H8" s="723" t="s">
        <v>943</v>
      </c>
      <c r="I8" s="724">
        <v>24.546026094485281</v>
      </c>
      <c r="J8" s="724">
        <v>24.546026094485281</v>
      </c>
      <c r="K8" s="724">
        <v>27.036445928444127</v>
      </c>
      <c r="L8" s="725">
        <v>27.036445928444127</v>
      </c>
    </row>
    <row r="9" spans="2:13" x14ac:dyDescent="0.35">
      <c r="B9" s="645" t="s">
        <v>875</v>
      </c>
      <c r="C9" s="636">
        <v>4469000</v>
      </c>
      <c r="D9" s="637" t="s">
        <v>870</v>
      </c>
      <c r="F9" s="722"/>
      <c r="G9" s="723"/>
      <c r="H9" s="723"/>
      <c r="I9" s="727"/>
      <c r="J9" s="722"/>
      <c r="K9" s="724"/>
      <c r="L9" s="725"/>
    </row>
    <row r="10" spans="2:13" x14ac:dyDescent="0.35">
      <c r="B10" s="646" t="s">
        <v>876</v>
      </c>
      <c r="C10" s="638" t="s">
        <v>877</v>
      </c>
      <c r="D10" s="639" t="s">
        <v>878</v>
      </c>
      <c r="F10" s="722" t="s">
        <v>944</v>
      </c>
      <c r="G10" s="722"/>
      <c r="H10" s="722"/>
      <c r="I10" s="724">
        <v>547.45560027188071</v>
      </c>
      <c r="J10" s="724">
        <v>568.78152415768193</v>
      </c>
      <c r="K10" s="724">
        <v>603</v>
      </c>
      <c r="L10" s="725">
        <f>SUM(L4:L8)</f>
        <v>603.23544787607682</v>
      </c>
    </row>
    <row r="11" spans="2:13" x14ac:dyDescent="0.35">
      <c r="B11" s="645" t="s">
        <v>879</v>
      </c>
      <c r="C11" s="636">
        <v>3989107</v>
      </c>
      <c r="D11" s="637" t="s">
        <v>870</v>
      </c>
      <c r="F11" s="722" t="s">
        <v>945</v>
      </c>
      <c r="G11" s="722"/>
      <c r="H11" s="724"/>
      <c r="I11" s="724">
        <v>55.544399728119288</v>
      </c>
      <c r="J11" s="724">
        <v>34.218475842318071</v>
      </c>
      <c r="K11" s="728">
        <v>0</v>
      </c>
      <c r="L11" s="728">
        <v>0</v>
      </c>
    </row>
    <row r="12" spans="2:13" x14ac:dyDescent="0.35">
      <c r="B12" s="645" t="s">
        <v>880</v>
      </c>
      <c r="C12" s="636">
        <v>3598000</v>
      </c>
      <c r="D12" s="637" t="s">
        <v>870</v>
      </c>
    </row>
    <row r="13" spans="2:13" x14ac:dyDescent="0.35">
      <c r="B13" s="645" t="s">
        <v>881</v>
      </c>
      <c r="C13" s="636">
        <v>2450614</v>
      </c>
      <c r="D13" s="637" t="s">
        <v>870</v>
      </c>
    </row>
    <row r="14" spans="2:13" x14ac:dyDescent="0.35">
      <c r="B14" s="645" t="s">
        <v>882</v>
      </c>
      <c r="C14" s="636">
        <v>1226247</v>
      </c>
      <c r="D14" s="637" t="s">
        <v>870</v>
      </c>
    </row>
    <row r="15" spans="2:13" x14ac:dyDescent="0.35">
      <c r="B15" s="645" t="s">
        <v>883</v>
      </c>
      <c r="C15" s="636">
        <v>1135343</v>
      </c>
      <c r="D15" s="637" t="s">
        <v>870</v>
      </c>
    </row>
    <row r="16" spans="2:13" x14ac:dyDescent="0.35">
      <c r="B16" s="645" t="s">
        <v>884</v>
      </c>
      <c r="C16" s="636">
        <v>820000</v>
      </c>
      <c r="D16" s="637" t="s">
        <v>870</v>
      </c>
    </row>
    <row r="17" spans="2:4" x14ac:dyDescent="0.35">
      <c r="B17" s="645" t="s">
        <v>885</v>
      </c>
      <c r="C17" s="636">
        <v>248932</v>
      </c>
      <c r="D17" s="637" t="s">
        <v>870</v>
      </c>
    </row>
    <row r="18" spans="2:4" ht="15" thickBot="1" x14ac:dyDescent="0.4">
      <c r="B18" s="647" t="s">
        <v>886</v>
      </c>
      <c r="C18" s="640">
        <v>25000</v>
      </c>
      <c r="D18" s="641" t="s">
        <v>870</v>
      </c>
    </row>
    <row r="19" spans="2:4" ht="15" thickBot="1" x14ac:dyDescent="0.4">
      <c r="B19" s="648" t="s">
        <v>589</v>
      </c>
      <c r="C19" s="642">
        <v>101625739</v>
      </c>
      <c r="D19" s="643"/>
    </row>
    <row r="21" spans="2:4" ht="15" thickBot="1" x14ac:dyDescent="0.4"/>
    <row r="22" spans="2:4" x14ac:dyDescent="0.35">
      <c r="B22" s="562" t="s">
        <v>887</v>
      </c>
      <c r="C22" s="555" t="s">
        <v>888</v>
      </c>
      <c r="D22" s="552">
        <v>705000000</v>
      </c>
    </row>
    <row r="23" spans="2:4" x14ac:dyDescent="0.35">
      <c r="B23" s="563" t="s">
        <v>889</v>
      </c>
      <c r="C23" s="556" t="s">
        <v>890</v>
      </c>
      <c r="D23" s="553">
        <v>101625739</v>
      </c>
    </row>
    <row r="24" spans="2:4" x14ac:dyDescent="0.35">
      <c r="B24" s="563" t="s">
        <v>891</v>
      </c>
      <c r="C24" s="556" t="s">
        <v>892</v>
      </c>
      <c r="D24" s="553">
        <v>176648753</v>
      </c>
    </row>
    <row r="25" spans="2:4" x14ac:dyDescent="0.35">
      <c r="B25" s="563" t="s">
        <v>891</v>
      </c>
      <c r="C25" s="556" t="s">
        <v>893</v>
      </c>
      <c r="D25" s="553">
        <v>48886605</v>
      </c>
    </row>
    <row r="26" spans="2:4" x14ac:dyDescent="0.35">
      <c r="B26" s="563" t="s">
        <v>891</v>
      </c>
      <c r="C26" s="556" t="s">
        <v>894</v>
      </c>
      <c r="D26" s="553">
        <v>7863333</v>
      </c>
    </row>
    <row r="27" spans="2:4" x14ac:dyDescent="0.35">
      <c r="B27" s="563" t="s">
        <v>891</v>
      </c>
      <c r="C27" s="556" t="s">
        <v>895</v>
      </c>
      <c r="D27" s="553">
        <v>20131774</v>
      </c>
    </row>
    <row r="28" spans="2:4" x14ac:dyDescent="0.35">
      <c r="B28" s="563" t="s">
        <v>891</v>
      </c>
      <c r="C28" s="556" t="s">
        <v>896</v>
      </c>
      <c r="D28" s="553">
        <v>2890000</v>
      </c>
    </row>
    <row r="29" spans="2:4" x14ac:dyDescent="0.35">
      <c r="B29" s="563" t="s">
        <v>891</v>
      </c>
      <c r="C29" s="556" t="s">
        <v>897</v>
      </c>
      <c r="D29" s="553">
        <v>3211001</v>
      </c>
    </row>
    <row r="30" spans="2:4" ht="15" thickBot="1" x14ac:dyDescent="0.4">
      <c r="B30" s="564" t="s">
        <v>891</v>
      </c>
      <c r="C30" s="557" t="s">
        <v>898</v>
      </c>
      <c r="D30" s="554">
        <v>3225792</v>
      </c>
    </row>
    <row r="31" spans="2:4" x14ac:dyDescent="0.35">
      <c r="B31" s="649"/>
      <c r="C31" s="650"/>
      <c r="D31" s="651"/>
    </row>
    <row r="32" spans="2:4" ht="15" thickBot="1" x14ac:dyDescent="0.4"/>
    <row r="33" spans="2:3" ht="15" thickBot="1" x14ac:dyDescent="0.4">
      <c r="B33" s="1039" t="s">
        <v>924</v>
      </c>
      <c r="C33" s="1040"/>
    </row>
    <row r="34" spans="2:3" x14ac:dyDescent="0.35">
      <c r="B34" s="189" t="s">
        <v>899</v>
      </c>
      <c r="C34" s="558">
        <f>L5-1</f>
        <v>470</v>
      </c>
    </row>
    <row r="35" spans="2:3" x14ac:dyDescent="0.35">
      <c r="B35" s="130" t="s">
        <v>900</v>
      </c>
      <c r="C35" s="652">
        <f>SUM($D$24:$D$26)/10^6</f>
        <v>233.39869100000001</v>
      </c>
    </row>
    <row r="36" spans="2:3" ht="15" thickBot="1" x14ac:dyDescent="0.4">
      <c r="B36" s="559" t="s">
        <v>901</v>
      </c>
      <c r="C36" s="560">
        <f>C34-C35</f>
        <v>236.60130899999999</v>
      </c>
    </row>
  </sheetData>
  <mergeCells count="1">
    <mergeCell ref="B33:C33"/>
  </mergeCells>
  <pageMargins left="0.7" right="0.7" top="0.75" bottom="0.75" header="0.3" footer="0.3"/>
  <pageSetup paperSize="9" orientation="portrait" r:id="rId1"/>
  <headerFooter>
    <oddHeader>&amp;L&amp;"Calibri"&amp;12&amp;K8E6A00Confidential&amp;1#</oddHeader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5920-E288-4E3A-B5E6-3D46A34C9C3D}">
  <sheetPr>
    <tabColor theme="5" tint="0.39997558519241921"/>
    <pageSetUpPr autoPageBreaks="0"/>
  </sheetPr>
  <dimension ref="A1:T71"/>
  <sheetViews>
    <sheetView topLeftCell="C26" zoomScale="110" zoomScaleNormal="110" workbookViewId="0">
      <selection activeCell="F36" sqref="F36"/>
    </sheetView>
  </sheetViews>
  <sheetFormatPr defaultRowHeight="14.5" outlineLevelRow="1" outlineLevelCol="1" x14ac:dyDescent="0.35"/>
  <cols>
    <col min="1" max="1" width="14.6328125" style="4" customWidth="1"/>
    <col min="2" max="2" width="57.1796875" style="4" customWidth="1"/>
    <col min="3" max="3" width="43.90625" style="4" customWidth="1"/>
    <col min="4" max="4" width="19.26953125" style="4" customWidth="1"/>
    <col min="5" max="5" width="14.54296875" style="4" customWidth="1"/>
    <col min="6" max="6" width="21.7265625" style="4" customWidth="1"/>
    <col min="7" max="7" width="16.81640625" style="4" customWidth="1"/>
    <col min="8" max="8" width="16.54296875" style="4" customWidth="1" outlineLevel="1"/>
    <col min="9" max="9" width="15.08984375" style="4" customWidth="1" outlineLevel="1"/>
    <col min="10" max="10" width="13.26953125" style="4" customWidth="1" outlineLevel="1"/>
    <col min="11" max="11" width="13.7265625" style="4" customWidth="1" outlineLevel="1"/>
    <col min="12" max="12" width="17.453125" style="4" customWidth="1" outlineLevel="1"/>
    <col min="13" max="13" width="14" style="4" customWidth="1" outlineLevel="1"/>
    <col min="14" max="15" width="17.1796875" style="4" customWidth="1" outlineLevel="1"/>
    <col min="16" max="17" width="19" style="423" customWidth="1" outlineLevel="1"/>
    <col min="18" max="18" width="17.453125" style="424" customWidth="1"/>
    <col min="19" max="19" width="10.81640625" style="4" customWidth="1"/>
    <col min="20" max="20" width="25.54296875" style="4" customWidth="1"/>
    <col min="21" max="16384" width="8.7265625" style="4"/>
  </cols>
  <sheetData>
    <row r="1" spans="2:17" s="424" customFormat="1" x14ac:dyDescent="0.35">
      <c r="B1" s="271" t="s">
        <v>1176</v>
      </c>
      <c r="C1" s="4"/>
      <c r="D1" s="4"/>
      <c r="E1" s="4"/>
      <c r="F1" s="4"/>
      <c r="G1" s="422"/>
      <c r="H1" s="4"/>
      <c r="I1" s="4"/>
      <c r="J1" s="4"/>
      <c r="K1" s="4"/>
      <c r="L1" s="4"/>
      <c r="M1" s="4"/>
      <c r="N1" s="4"/>
      <c r="O1" s="4"/>
      <c r="P1" s="423"/>
      <c r="Q1" s="423"/>
    </row>
    <row r="2" spans="2:17" s="424" customFormat="1" outlineLevel="1" x14ac:dyDescent="0.35">
      <c r="B2" s="4" t="s">
        <v>569</v>
      </c>
      <c r="C2" s="583">
        <v>2024</v>
      </c>
      <c r="D2" s="4"/>
      <c r="E2" s="4"/>
      <c r="F2" s="4"/>
      <c r="G2" s="422"/>
      <c r="H2" s="4"/>
      <c r="I2" s="4"/>
      <c r="J2" s="4"/>
      <c r="K2" s="4"/>
      <c r="L2" s="4"/>
      <c r="M2" s="4"/>
      <c r="N2" s="4"/>
      <c r="O2" s="4"/>
      <c r="P2" s="423"/>
      <c r="Q2" s="423"/>
    </row>
    <row r="3" spans="2:17" s="424" customFormat="1" outlineLevel="1" x14ac:dyDescent="0.35">
      <c r="B3" s="4" t="s">
        <v>570</v>
      </c>
      <c r="C3" s="28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23"/>
      <c r="Q3" s="423"/>
    </row>
    <row r="4" spans="2:17" s="424" customFormat="1" ht="15" outlineLevel="1" thickBot="1" x14ac:dyDescent="0.4">
      <c r="B4" s="4"/>
      <c r="C4" s="286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23"/>
      <c r="Q4" s="423"/>
    </row>
    <row r="5" spans="2:17" s="424" customFormat="1" ht="15" outlineLevel="1" thickBot="1" x14ac:dyDescent="0.4">
      <c r="B5" s="586" t="s">
        <v>571</v>
      </c>
      <c r="C5" s="595" t="s">
        <v>572</v>
      </c>
      <c r="D5" s="605" t="s">
        <v>573</v>
      </c>
      <c r="E5" s="586" t="s">
        <v>574</v>
      </c>
      <c r="F5" s="587" t="s">
        <v>575</v>
      </c>
      <c r="G5" s="4"/>
      <c r="H5" s="882" t="s">
        <v>1179</v>
      </c>
      <c r="I5" s="883" t="s">
        <v>1180</v>
      </c>
      <c r="J5" s="883" t="s">
        <v>1181</v>
      </c>
      <c r="K5" s="883" t="s">
        <v>1182</v>
      </c>
      <c r="L5" s="884" t="s">
        <v>1183</v>
      </c>
      <c r="M5" s="4"/>
      <c r="N5" s="4"/>
      <c r="O5" s="4"/>
      <c r="P5" s="423"/>
      <c r="Q5" s="423"/>
    </row>
    <row r="6" spans="2:17" s="424" customFormat="1" ht="22.5" customHeight="1" outlineLevel="1" x14ac:dyDescent="0.35">
      <c r="B6" s="592" t="s">
        <v>576</v>
      </c>
      <c r="C6" s="600" t="s">
        <v>577</v>
      </c>
      <c r="D6" s="606">
        <v>0.25</v>
      </c>
      <c r="E6" s="596">
        <f>$D6*E$12</f>
        <v>59.150327249999997</v>
      </c>
      <c r="F6" s="593">
        <f>$D6*F$12</f>
        <v>0</v>
      </c>
      <c r="G6" s="4"/>
      <c r="H6" s="885" t="s">
        <v>1184</v>
      </c>
      <c r="I6" s="881">
        <v>0.25</v>
      </c>
      <c r="J6" s="881">
        <v>0.25</v>
      </c>
      <c r="K6" s="881">
        <v>0.25</v>
      </c>
      <c r="L6" s="886">
        <v>0.25</v>
      </c>
      <c r="M6" s="4"/>
      <c r="N6" s="4"/>
      <c r="O6" s="4"/>
      <c r="P6" s="423"/>
      <c r="Q6" s="423"/>
    </row>
    <row r="7" spans="2:17" s="424" customFormat="1" ht="17.649999999999999" customHeight="1" outlineLevel="1" x14ac:dyDescent="0.35">
      <c r="B7" s="588" t="s">
        <v>578</v>
      </c>
      <c r="C7" s="601" t="s">
        <v>579</v>
      </c>
      <c r="D7" s="607">
        <v>0.3</v>
      </c>
      <c r="E7" s="597">
        <f>D7*E$12</f>
        <v>70.980392699999996</v>
      </c>
      <c r="F7" s="584">
        <f>$D7*F$12</f>
        <v>0</v>
      </c>
      <c r="G7" s="4"/>
      <c r="H7" s="887" t="s">
        <v>1185</v>
      </c>
      <c r="I7" s="879">
        <v>0.3</v>
      </c>
      <c r="J7" s="879">
        <v>0.3</v>
      </c>
      <c r="K7" s="879">
        <v>0.4</v>
      </c>
      <c r="L7" s="888">
        <v>0.3</v>
      </c>
      <c r="M7" s="4"/>
      <c r="N7" s="4"/>
      <c r="O7" s="4"/>
      <c r="P7" s="423"/>
      <c r="Q7" s="423"/>
    </row>
    <row r="8" spans="2:17" s="424" customFormat="1" ht="19.5" customHeight="1" outlineLevel="1" x14ac:dyDescent="0.35">
      <c r="B8" s="588" t="s">
        <v>580</v>
      </c>
      <c r="C8" s="601" t="s">
        <v>581</v>
      </c>
      <c r="D8" s="607">
        <v>0.1</v>
      </c>
      <c r="E8" s="597">
        <f>D8*E$12</f>
        <v>23.660130899999999</v>
      </c>
      <c r="F8" s="584">
        <f>$D8*F$12</f>
        <v>0</v>
      </c>
      <c r="G8" s="4"/>
      <c r="H8" s="887" t="s">
        <v>581</v>
      </c>
      <c r="I8" s="879">
        <v>0.1</v>
      </c>
      <c r="J8" s="879">
        <v>0.1</v>
      </c>
      <c r="K8" s="879">
        <v>0.1</v>
      </c>
      <c r="L8" s="888">
        <v>0.1</v>
      </c>
      <c r="M8" s="4"/>
      <c r="N8" s="4"/>
      <c r="O8" s="4"/>
      <c r="P8" s="423"/>
      <c r="Q8" s="423"/>
    </row>
    <row r="9" spans="2:17" s="424" customFormat="1" ht="29" outlineLevel="1" x14ac:dyDescent="0.35">
      <c r="B9" s="589" t="s">
        <v>582</v>
      </c>
      <c r="C9" s="602" t="s">
        <v>454</v>
      </c>
      <c r="D9" s="608">
        <v>0.15</v>
      </c>
      <c r="E9" s="597">
        <f>D9*E$12</f>
        <v>35.490196349999998</v>
      </c>
      <c r="F9" s="584">
        <f>$D9*F$12</f>
        <v>0</v>
      </c>
      <c r="H9" s="887" t="s">
        <v>1186</v>
      </c>
      <c r="I9" s="880">
        <v>0.1</v>
      </c>
      <c r="J9" s="880">
        <v>0.1</v>
      </c>
      <c r="K9" s="880">
        <v>0.15</v>
      </c>
      <c r="L9" s="889">
        <v>0.1</v>
      </c>
      <c r="P9" s="426"/>
      <c r="Q9" s="426"/>
    </row>
    <row r="10" spans="2:17" ht="18.649999999999999" customHeight="1" outlineLevel="1" x14ac:dyDescent="0.35">
      <c r="B10" s="588" t="s">
        <v>583</v>
      </c>
      <c r="C10" s="601" t="s">
        <v>584</v>
      </c>
      <c r="D10" s="607">
        <v>0.1</v>
      </c>
      <c r="E10" s="597">
        <f>D10*E$12</f>
        <v>23.660130899999999</v>
      </c>
      <c r="F10" s="584">
        <f>$D10*F$12</f>
        <v>0</v>
      </c>
      <c r="G10" s="422"/>
      <c r="H10" s="887" t="s">
        <v>454</v>
      </c>
      <c r="I10" s="879">
        <v>0.15</v>
      </c>
      <c r="J10" s="879">
        <v>0.15</v>
      </c>
      <c r="K10" s="879">
        <v>0</v>
      </c>
      <c r="L10" s="888">
        <v>0.15</v>
      </c>
    </row>
    <row r="11" spans="2:17" ht="32.5" customHeight="1" outlineLevel="1" thickBot="1" x14ac:dyDescent="0.4">
      <c r="B11" s="594" t="s">
        <v>586</v>
      </c>
      <c r="C11" s="603" t="s">
        <v>587</v>
      </c>
      <c r="D11" s="609">
        <v>0.1</v>
      </c>
      <c r="E11" s="598">
        <f t="shared" ref="E11" si="0">D11*E$12</f>
        <v>23.660130899999999</v>
      </c>
      <c r="F11" s="585">
        <f>$D11*F$12</f>
        <v>0</v>
      </c>
      <c r="G11" s="422"/>
      <c r="H11" s="890" t="s">
        <v>1187</v>
      </c>
      <c r="I11" s="891">
        <v>0.1</v>
      </c>
      <c r="J11" s="891">
        <v>0.1</v>
      </c>
      <c r="K11" s="891">
        <v>0.1</v>
      </c>
      <c r="L11" s="892">
        <v>0.1</v>
      </c>
    </row>
    <row r="12" spans="2:17" ht="15" outlineLevel="1" thickBot="1" x14ac:dyDescent="0.4">
      <c r="B12" s="590"/>
      <c r="C12" s="604" t="s">
        <v>589</v>
      </c>
      <c r="D12" s="610">
        <f>SUM(D6:D11)</f>
        <v>1</v>
      </c>
      <c r="E12" s="599">
        <f>'Modelling Budget'!$C$36</f>
        <v>236.60130899999999</v>
      </c>
      <c r="F12" s="591">
        <v>0</v>
      </c>
      <c r="G12" s="422"/>
    </row>
    <row r="13" spans="2:17" outlineLevel="1" x14ac:dyDescent="0.35">
      <c r="E13" s="4" t="s">
        <v>590</v>
      </c>
      <c r="F13" s="4" t="s">
        <v>590</v>
      </c>
    </row>
    <row r="14" spans="2:17" s="424" customFormat="1" outlineLevel="1" x14ac:dyDescent="0.35">
      <c r="B14" s="4"/>
      <c r="C14" s="4"/>
      <c r="D14" s="4"/>
      <c r="E14" s="4"/>
      <c r="F14" s="4"/>
      <c r="H14" s="4"/>
      <c r="I14" s="4"/>
      <c r="P14" s="426"/>
      <c r="Q14" s="426"/>
    </row>
    <row r="15" spans="2:17" s="424" customFormat="1" outlineLevel="1" x14ac:dyDescent="0.35">
      <c r="B15" s="4"/>
      <c r="C15" s="4"/>
      <c r="D15" s="4"/>
      <c r="E15" s="4"/>
      <c r="F15" s="4"/>
      <c r="H15" s="4"/>
      <c r="I15" s="4"/>
      <c r="P15" s="426"/>
      <c r="Q15" s="426"/>
    </row>
    <row r="16" spans="2:17" outlineLevel="1" x14ac:dyDescent="0.35"/>
    <row r="17" spans="2:20" x14ac:dyDescent="0.35">
      <c r="D17" s="427"/>
      <c r="H17" s="213"/>
      <c r="I17" s="213"/>
      <c r="J17" s="213"/>
      <c r="K17" s="213"/>
      <c r="L17" s="213"/>
      <c r="M17" s="213"/>
      <c r="N17" s="213"/>
      <c r="O17" s="213"/>
      <c r="T17" s="266"/>
    </row>
    <row r="18" spans="2:20" x14ac:dyDescent="0.35">
      <c r="D18" s="427"/>
    </row>
    <row r="19" spans="2:20" ht="44" thickBot="1" x14ac:dyDescent="0.4">
      <c r="B19" s="422"/>
      <c r="C19" s="422"/>
      <c r="D19" s="422"/>
      <c r="E19" s="430" t="s">
        <v>771</v>
      </c>
      <c r="F19" s="431"/>
      <c r="G19" s="432"/>
      <c r="H19" s="432"/>
      <c r="I19" s="430" t="s">
        <v>772</v>
      </c>
      <c r="J19" s="432"/>
      <c r="K19" s="430" t="s">
        <v>772</v>
      </c>
      <c r="L19" s="432"/>
      <c r="M19" s="430" t="s">
        <v>770</v>
      </c>
      <c r="N19" s="432"/>
      <c r="O19" s="432"/>
      <c r="P19" s="430"/>
      <c r="Q19" s="430"/>
      <c r="R19" s="4"/>
    </row>
    <row r="20" spans="2:20" ht="29.5" thickBot="1" x14ac:dyDescent="0.4">
      <c r="B20" s="578" t="s">
        <v>356</v>
      </c>
      <c r="C20" s="579" t="s">
        <v>446</v>
      </c>
      <c r="D20" s="580" t="s">
        <v>10</v>
      </c>
      <c r="E20" s="581" t="s">
        <v>447</v>
      </c>
      <c r="F20" s="581" t="s">
        <v>448</v>
      </c>
      <c r="G20" s="581" t="s">
        <v>449</v>
      </c>
      <c r="H20" s="581" t="s">
        <v>450</v>
      </c>
      <c r="I20" s="581" t="s">
        <v>451</v>
      </c>
      <c r="J20" s="581" t="s">
        <v>452</v>
      </c>
      <c r="K20" s="581" t="s">
        <v>453</v>
      </c>
      <c r="L20" s="581" t="s">
        <v>454</v>
      </c>
      <c r="M20" s="581" t="s">
        <v>455</v>
      </c>
      <c r="N20" s="581" t="s">
        <v>456</v>
      </c>
      <c r="O20" s="981" t="s">
        <v>1214</v>
      </c>
      <c r="P20" s="581" t="s">
        <v>457</v>
      </c>
      <c r="Q20" s="980" t="s">
        <v>1215</v>
      </c>
      <c r="R20" s="582" t="s">
        <v>458</v>
      </c>
    </row>
    <row r="21" spans="2:20" x14ac:dyDescent="0.35">
      <c r="B21" s="917" t="s">
        <v>27</v>
      </c>
      <c r="C21" s="918" t="str">
        <f>INDEX('MCODE Final Mapping'!$L$6:$L$67,MATCH('3.1 Model Assumptions &amp; Inputs'!$B21,'MCODE Final Mapping'!$K$6:$K$67,0))</f>
        <v>PROMO-US-2024 KEYTRUDA GI</v>
      </c>
      <c r="D21" s="918" t="str">
        <f>INDEX('2.  Sales Data Key &amp; Key-Lyn'!$D$7:$D$60,MATCH('3.1 Model Assumptions &amp; Inputs'!$B21,'2.  Sales Data Key &amp; Key-Lyn'!$C$7:$C$60,0))</f>
        <v>Planning Year</v>
      </c>
      <c r="E21" s="918" t="str">
        <f>SUBSTITUTE(INDEX('2024 Consumer Focus'!$K$4:$K$74,MATCH('3.1 Model Assumptions &amp; Inputs'!$B21,'2024 Consumer Focus'!$I$4:$I$74,0)),"TBD","Low")</f>
        <v>Low</v>
      </c>
      <c r="F21" s="918" t="str">
        <f>SUBSTITUTE(IFERROR(INDEX('Tumor Priority'!$C$6:$C$77,MATCH('3.1 Model Assumptions &amp; Inputs'!$B21,'Tumor Priority'!$B$6:$B$77,0)),"Base"),"Base","Low")</f>
        <v>Medium</v>
      </c>
      <c r="G21" s="919">
        <f>IFERROR(IF(F21="High",1.5,IF(F21="Medium",1,0.5)),"-")</f>
        <v>1</v>
      </c>
      <c r="H21" s="918">
        <v>0</v>
      </c>
      <c r="I21" s="918">
        <v>0.5</v>
      </c>
      <c r="J21" s="918">
        <v>1</v>
      </c>
      <c r="K21" s="918">
        <v>1</v>
      </c>
      <c r="L21" s="920">
        <f>G21*((H21*I21)+(J21*K21))</f>
        <v>1</v>
      </c>
      <c r="M21" s="918">
        <v>0</v>
      </c>
      <c r="N21" s="918">
        <f>IF(INDEX('2024 Competitive Landscape'!$N$6:$N$76,MATCH('3.1 Model Assumptions &amp; Inputs'!$B21,'2024 Competitive Landscape'!$L$6:$L$76,0))="High",2, IF(INDEX('2024 Competitive Landscape'!$N$6:$N$76,MATCH('3.1 Model Assumptions &amp; Inputs'!$B21,'2024 Competitive Landscape'!$L$6:$L$76,0))="Medium",1,0))</f>
        <v>0</v>
      </c>
      <c r="O21" s="921">
        <f>N21/COUNTIF($C$21:$C$70,C21)</f>
        <v>0</v>
      </c>
      <c r="P21" s="973">
        <f>INDEX('2024 Unique Customer Segment'!$I$5:$I$75,MATCH('3.1 Model Assumptions &amp; Inputs'!B21,'2024 Unique Customer Segment'!$H$5:$H$75,0))</f>
        <v>0</v>
      </c>
      <c r="Q21" s="924">
        <f>INDEX('2024 Unique Customer Segment'!$I$5:$I$75,MATCH('3.1 Model Assumptions &amp; Inputs'!B21,'2024 Unique Customer Segment'!$H$5:$H$75,0))/COUNTIF($C$21:$C$70,C21)</f>
        <v>0</v>
      </c>
      <c r="R21" s="977">
        <f>+N21+P21</f>
        <v>0</v>
      </c>
      <c r="S21" s="916"/>
    </row>
    <row r="22" spans="2:20" x14ac:dyDescent="0.35">
      <c r="B22" s="573" t="s">
        <v>344</v>
      </c>
      <c r="C22" s="425" t="str">
        <f>INDEX('MCODE Final Mapping'!$L$6:$L$67,MATCH('3.1 Model Assumptions &amp; Inputs'!$B22,'MCODE Final Mapping'!$K$6:$K$67,0))</f>
        <v>PROMO-US-2024 KEYTRUDA CERVICAL</v>
      </c>
      <c r="D22" s="425" t="str">
        <f>INDEX('2.  Sales Data Key &amp; Key-Lyn'!$D$7:$D$60,MATCH('3.1 Model Assumptions &amp; Inputs'!$B22,'2.  Sales Data Key &amp; Key-Lyn'!$C$7:$C$60,0))</f>
        <v>Planning Year</v>
      </c>
      <c r="E22" s="425" t="str">
        <f>SUBSTITUTE(INDEX('2024 Consumer Focus'!$K$4:$K$74,MATCH('3.1 Model Assumptions &amp; Inputs'!$B22,'2024 Consumer Focus'!$I$4:$I$74,0)),"TBD","Low")</f>
        <v>Low</v>
      </c>
      <c r="F22" s="425" t="str">
        <f>SUBSTITUTE(IFERROR(INDEX('Tumor Priority'!$C$6:$C$77,MATCH('3.1 Model Assumptions &amp; Inputs'!$B22,'Tumor Priority'!$B$6:$B$77,0)),"Base"),"Base","Low")</f>
        <v>Low</v>
      </c>
      <c r="G22" s="428">
        <f t="shared" ref="G22:G70" si="1">IFERROR(IF(F22="High",1.5,IF(F22="Medium",1,0.5)),"-")</f>
        <v>0.5</v>
      </c>
      <c r="H22" s="425">
        <v>1</v>
      </c>
      <c r="I22" s="425">
        <v>0.5</v>
      </c>
      <c r="J22" s="425">
        <v>0</v>
      </c>
      <c r="K22" s="425">
        <v>1</v>
      </c>
      <c r="L22" s="913">
        <f t="shared" ref="L22:L70" si="2">G22*((H22*I22)+(J22*K22))</f>
        <v>0.25</v>
      </c>
      <c r="M22" s="425">
        <v>0</v>
      </c>
      <c r="N22" s="425">
        <f>IF(INDEX('2024 Competitive Landscape'!$N$6:$N$76,MATCH('3.1 Model Assumptions &amp; Inputs'!$B22,'2024 Competitive Landscape'!$L$6:$L$76,0))="High",2, IF(INDEX('2024 Competitive Landscape'!$N$6:$N$76,MATCH('3.1 Model Assumptions &amp; Inputs'!$B22,'2024 Competitive Landscape'!$L$6:$L$76,0))="Medium",1,0))</f>
        <v>0</v>
      </c>
      <c r="O22" s="914">
        <f t="shared" ref="O22:O70" si="3">N22/COUNTIF($C$21:$C$70,C22)</f>
        <v>0</v>
      </c>
      <c r="P22" s="974">
        <f>INDEX('2024 Unique Customer Segment'!$I$5:$I$75,MATCH('3.1 Model Assumptions &amp; Inputs'!B22,'2024 Unique Customer Segment'!$H$5:$H$75,0))</f>
        <v>1</v>
      </c>
      <c r="Q22" s="922">
        <f>INDEX('2024 Unique Customer Segment'!$I$5:$I$75,MATCH('3.1 Model Assumptions &amp; Inputs'!B22,'2024 Unique Customer Segment'!$H$5:$H$75,0))/COUNTIF($C$21:$C$70,C22)</f>
        <v>0.33333333333333331</v>
      </c>
      <c r="R22" s="978">
        <f t="shared" ref="R22:R70" si="4">+N22+P22</f>
        <v>1</v>
      </c>
      <c r="S22" s="916"/>
    </row>
    <row r="23" spans="2:20" x14ac:dyDescent="0.35">
      <c r="B23" s="573" t="s">
        <v>345</v>
      </c>
      <c r="C23" s="425" t="str">
        <f>INDEX('MCODE Final Mapping'!$L$6:$L$67,MATCH('3.1 Model Assumptions &amp; Inputs'!$B23,'MCODE Final Mapping'!$K$6:$K$67,0))</f>
        <v>PROMO-US-2024 KEYTRUDA CERVICAL</v>
      </c>
      <c r="D23" s="425" t="str">
        <f>INDEX('2.  Sales Data Key &amp; Key-Lyn'!$D$7:$D$60,MATCH('3.1 Model Assumptions &amp; Inputs'!$B23,'2.  Sales Data Key &amp; Key-Lyn'!$C$7:$C$60,0))</f>
        <v>Established</v>
      </c>
      <c r="E23" s="425" t="str">
        <f>SUBSTITUTE(INDEX('2024 Consumer Focus'!$K$4:$K$74,MATCH('3.1 Model Assumptions &amp; Inputs'!$B23,'2024 Consumer Focus'!$I$4:$I$74,0)),"TBD","Low")</f>
        <v>Low</v>
      </c>
      <c r="F23" s="425" t="str">
        <f>SUBSTITUTE(IFERROR(INDEX('Tumor Priority'!$C$6:$C$77,MATCH('3.1 Model Assumptions &amp; Inputs'!$B23,'Tumor Priority'!$B$6:$B$77,0)),"Base"),"Base","Low")</f>
        <v>Low</v>
      </c>
      <c r="G23" s="428">
        <f t="shared" si="1"/>
        <v>0.5</v>
      </c>
      <c r="H23" s="425">
        <v>0</v>
      </c>
      <c r="I23" s="425">
        <v>0.5</v>
      </c>
      <c r="J23" s="425">
        <v>0</v>
      </c>
      <c r="K23" s="425">
        <v>1</v>
      </c>
      <c r="L23" s="913">
        <f t="shared" si="2"/>
        <v>0</v>
      </c>
      <c r="M23" s="425">
        <v>0</v>
      </c>
      <c r="N23" s="425">
        <f>IF(INDEX('2024 Competitive Landscape'!$N$6:$N$76,MATCH('3.1 Model Assumptions &amp; Inputs'!$B23,'2024 Competitive Landscape'!$L$6:$L$76,0))="High",2, IF(INDEX('2024 Competitive Landscape'!$N$6:$N$76,MATCH('3.1 Model Assumptions &amp; Inputs'!$B23,'2024 Competitive Landscape'!$L$6:$L$76,0))="Medium",1,0))</f>
        <v>0</v>
      </c>
      <c r="O23" s="914">
        <f t="shared" si="3"/>
        <v>0</v>
      </c>
      <c r="P23" s="974">
        <f>INDEX('2024 Unique Customer Segment'!$I$5:$I$75,MATCH('3.1 Model Assumptions &amp; Inputs'!B23,'2024 Unique Customer Segment'!$H$5:$H$75,0))</f>
        <v>0</v>
      </c>
      <c r="Q23" s="922">
        <f>INDEX('2024 Unique Customer Segment'!$I$5:$I$75,MATCH('3.1 Model Assumptions &amp; Inputs'!B23,'2024 Unique Customer Segment'!$H$5:$H$75,0))/COUNTIF($C$21:$C$70,C23)</f>
        <v>0</v>
      </c>
      <c r="R23" s="978">
        <f t="shared" si="4"/>
        <v>0</v>
      </c>
      <c r="S23" s="916"/>
    </row>
    <row r="24" spans="2:20" x14ac:dyDescent="0.35">
      <c r="B24" s="573" t="s">
        <v>346</v>
      </c>
      <c r="C24" s="425" t="str">
        <f>INDEX('MCODE Final Mapping'!$L$6:$L$67,MATCH('3.1 Model Assumptions &amp; Inputs'!$B24,'MCODE Final Mapping'!$K$6:$K$67,0))</f>
        <v>PROMO-US-2024 KEYTRUDA CERVICAL</v>
      </c>
      <c r="D24" s="425" t="str">
        <f>INDEX('2.  Sales Data Key &amp; Key-Lyn'!$D$7:$D$60,MATCH('3.1 Model Assumptions &amp; Inputs'!$B24,'2.  Sales Data Key &amp; Key-Lyn'!$C$7:$C$60,0))</f>
        <v>Mature</v>
      </c>
      <c r="E24" s="425" t="str">
        <f>SUBSTITUTE(INDEX('2024 Consumer Focus'!$K$4:$K$74,MATCH('3.1 Model Assumptions &amp; Inputs'!$B24,'2024 Consumer Focus'!$I$4:$I$74,0)),"TBD","Low")</f>
        <v>Low</v>
      </c>
      <c r="F24" s="425" t="str">
        <f>SUBSTITUTE(IFERROR(INDEX('Tumor Priority'!$C$6:$C$77,MATCH('3.1 Model Assumptions &amp; Inputs'!$B24,'Tumor Priority'!$B$6:$B$77,0)),"Base"),"Base","Low")</f>
        <v>Low</v>
      </c>
      <c r="G24" s="428">
        <f t="shared" si="1"/>
        <v>0.5</v>
      </c>
      <c r="H24" s="425">
        <v>0</v>
      </c>
      <c r="I24" s="425">
        <v>0.5</v>
      </c>
      <c r="J24" s="425">
        <v>0</v>
      </c>
      <c r="K24" s="425">
        <v>1</v>
      </c>
      <c r="L24" s="913">
        <f t="shared" si="2"/>
        <v>0</v>
      </c>
      <c r="M24" s="425">
        <v>0</v>
      </c>
      <c r="N24" s="425">
        <f>IF(INDEX('2024 Competitive Landscape'!$N$6:$N$76,MATCH('3.1 Model Assumptions &amp; Inputs'!$B24,'2024 Competitive Landscape'!$L$6:$L$76,0))="High",2, IF(INDEX('2024 Competitive Landscape'!$N$6:$N$76,MATCH('3.1 Model Assumptions &amp; Inputs'!$B24,'2024 Competitive Landscape'!$L$6:$L$76,0))="Medium",1,0))</f>
        <v>0</v>
      </c>
      <c r="O24" s="914">
        <f t="shared" si="3"/>
        <v>0</v>
      </c>
      <c r="P24" s="974">
        <f>INDEX('2024 Unique Customer Segment'!$I$5:$I$75,MATCH('3.1 Model Assumptions &amp; Inputs'!B24,'2024 Unique Customer Segment'!$H$5:$H$75,0))</f>
        <v>0</v>
      </c>
      <c r="Q24" s="922">
        <f>INDEX('2024 Unique Customer Segment'!$I$5:$I$75,MATCH('3.1 Model Assumptions &amp; Inputs'!B24,'2024 Unique Customer Segment'!$H$5:$H$75,0))/COUNTIF($C$21:$C$70,C24)</f>
        <v>0</v>
      </c>
      <c r="R24" s="978">
        <f t="shared" si="4"/>
        <v>0</v>
      </c>
      <c r="S24" s="916"/>
    </row>
    <row r="25" spans="2:20" x14ac:dyDescent="0.35">
      <c r="B25" s="573" t="s">
        <v>55</v>
      </c>
      <c r="C25" s="425" t="str">
        <f>INDEX('MCODE Final Mapping'!$L$6:$L$67,MATCH('3.1 Model Assumptions &amp; Inputs'!$B25,'MCODE Final Mapping'!$K$6:$K$67,0))</f>
        <v>PROMO-US-2024 KEYTRUDA GI</v>
      </c>
      <c r="D25" s="425" t="str">
        <f>INDEX('2.  Sales Data Key &amp; Key-Lyn'!$D$7:$D$60,MATCH('3.1 Model Assumptions &amp; Inputs'!$B25,'2.  Sales Data Key &amp; Key-Lyn'!$C$7:$C$60,0))</f>
        <v>Mature</v>
      </c>
      <c r="E25" s="425" t="str">
        <f>SUBSTITUTE(INDEX('2024 Consumer Focus'!$K$4:$K$74,MATCH('3.1 Model Assumptions &amp; Inputs'!$B25,'2024 Consumer Focus'!$I$4:$I$74,0)),"TBD","Low")</f>
        <v>Medium</v>
      </c>
      <c r="F25" s="425" t="str">
        <f>SUBSTITUTE(IFERROR(INDEX('Tumor Priority'!$C$6:$C$77,MATCH('3.1 Model Assumptions &amp; Inputs'!$B25,'Tumor Priority'!$B$6:$B$77,0)),"Base"),"Base","Low")</f>
        <v>Low</v>
      </c>
      <c r="G25" s="428">
        <f t="shared" si="1"/>
        <v>0.5</v>
      </c>
      <c r="H25" s="425">
        <v>0</v>
      </c>
      <c r="I25" s="425">
        <v>0.5</v>
      </c>
      <c r="J25" s="425">
        <v>0</v>
      </c>
      <c r="K25" s="425">
        <v>1</v>
      </c>
      <c r="L25" s="913">
        <f t="shared" si="2"/>
        <v>0</v>
      </c>
      <c r="M25" s="425">
        <v>0</v>
      </c>
      <c r="N25" s="425">
        <f>IF(INDEX('2024 Competitive Landscape'!$N$6:$N$76,MATCH('3.1 Model Assumptions &amp; Inputs'!$B25,'2024 Competitive Landscape'!$L$6:$L$76,0))="High",2, IF(INDEX('2024 Competitive Landscape'!$N$6:$N$76,MATCH('3.1 Model Assumptions &amp; Inputs'!$B25,'2024 Competitive Landscape'!$L$6:$L$76,0))="Medium",1,0))</f>
        <v>1</v>
      </c>
      <c r="O25" s="914">
        <f t="shared" si="3"/>
        <v>9.0909090909090912E-2</v>
      </c>
      <c r="P25" s="974">
        <f>INDEX('2024 Unique Customer Segment'!$I$5:$I$75,MATCH('3.1 Model Assumptions &amp; Inputs'!B25,'2024 Unique Customer Segment'!$H$5:$H$75,0))</f>
        <v>0</v>
      </c>
      <c r="Q25" s="922">
        <f>INDEX('2024 Unique Customer Segment'!$I$5:$I$75,MATCH('3.1 Model Assumptions &amp; Inputs'!B25,'2024 Unique Customer Segment'!$H$5:$H$75,0))/COUNTIF($C$21:$C$70,C25)</f>
        <v>0</v>
      </c>
      <c r="R25" s="978">
        <f t="shared" si="4"/>
        <v>1</v>
      </c>
      <c r="S25" s="916"/>
    </row>
    <row r="26" spans="2:20" x14ac:dyDescent="0.35">
      <c r="B26" s="573" t="s">
        <v>59</v>
      </c>
      <c r="C26" s="425" t="str">
        <f>INDEX('MCODE Final Mapping'!$L$6:$L$67,MATCH('3.1 Model Assumptions &amp; Inputs'!$B26,'MCODE Final Mapping'!$K$6:$K$67,0))</f>
        <v>PROMO-US-2024 KEYTRUDA GI</v>
      </c>
      <c r="D26" s="425" t="str">
        <f>INDEX('2.  Sales Data Key &amp; Key-Lyn'!$D$7:$D$60,MATCH('3.1 Model Assumptions &amp; Inputs'!$B26,'2.  Sales Data Key &amp; Key-Lyn'!$C$7:$C$60,0))</f>
        <v>Mature</v>
      </c>
      <c r="E26" s="425" t="str">
        <f>SUBSTITUTE(INDEX('2024 Consumer Focus'!$K$4:$K$74,MATCH('3.1 Model Assumptions &amp; Inputs'!$B26,'2024 Consumer Focus'!$I$4:$I$74,0)),"TBD","Low")</f>
        <v>Medium</v>
      </c>
      <c r="F26" s="425" t="str">
        <f>SUBSTITUTE(IFERROR(INDEX('Tumor Priority'!$C$6:$C$77,MATCH('3.1 Model Assumptions &amp; Inputs'!$B26,'Tumor Priority'!$B$6:$B$77,0)),"Base"),"Base","Low")</f>
        <v>Low</v>
      </c>
      <c r="G26" s="428">
        <f t="shared" si="1"/>
        <v>0.5</v>
      </c>
      <c r="H26" s="425">
        <v>0</v>
      </c>
      <c r="I26" s="425">
        <v>0.5</v>
      </c>
      <c r="J26" s="425">
        <v>0</v>
      </c>
      <c r="K26" s="425">
        <v>1</v>
      </c>
      <c r="L26" s="913">
        <f t="shared" si="2"/>
        <v>0</v>
      </c>
      <c r="M26" s="425">
        <v>0</v>
      </c>
      <c r="N26" s="425">
        <f>IF(INDEX('2024 Competitive Landscape'!$N$6:$N$76,MATCH('3.1 Model Assumptions &amp; Inputs'!$B26,'2024 Competitive Landscape'!$L$6:$L$76,0))="High",2, IF(INDEX('2024 Competitive Landscape'!$N$6:$N$76,MATCH('3.1 Model Assumptions &amp; Inputs'!$B26,'2024 Competitive Landscape'!$L$6:$L$76,0))="Medium",1,0))</f>
        <v>1</v>
      </c>
      <c r="O26" s="914">
        <f t="shared" si="3"/>
        <v>9.0909090909090912E-2</v>
      </c>
      <c r="P26" s="974">
        <f>INDEX('2024 Unique Customer Segment'!$I$5:$I$75,MATCH('3.1 Model Assumptions &amp; Inputs'!B26,'2024 Unique Customer Segment'!$H$5:$H$75,0))</f>
        <v>0</v>
      </c>
      <c r="Q26" s="922">
        <f>INDEX('2024 Unique Customer Segment'!$I$5:$I$75,MATCH('3.1 Model Assumptions &amp; Inputs'!B26,'2024 Unique Customer Segment'!$H$5:$H$75,0))/COUNTIF($C$21:$C$70,C26)</f>
        <v>0</v>
      </c>
      <c r="R26" s="978">
        <f t="shared" si="4"/>
        <v>1</v>
      </c>
      <c r="S26" s="916"/>
    </row>
    <row r="27" spans="2:20" x14ac:dyDescent="0.35">
      <c r="B27" s="573" t="s">
        <v>64</v>
      </c>
      <c r="C27" s="425" t="str">
        <f>INDEX('MCODE Final Mapping'!$L$6:$L$67,MATCH('3.1 Model Assumptions &amp; Inputs'!$B27,'MCODE Final Mapping'!$K$6:$K$67,0))</f>
        <v>PROMO-US-2024 KEYTRUDA H&amp;N</v>
      </c>
      <c r="D27" s="425" t="str">
        <f>INDEX('2.  Sales Data Key &amp; Key-Lyn'!$D$7:$D$60,MATCH('3.1 Model Assumptions &amp; Inputs'!$B27,'2.  Sales Data Key &amp; Key-Lyn'!$C$7:$C$60,0))</f>
        <v>Mature</v>
      </c>
      <c r="E27" s="425" t="str">
        <f>SUBSTITUTE(INDEX('2024 Consumer Focus'!$K$4:$K$74,MATCH('3.1 Model Assumptions &amp; Inputs'!$B27,'2024 Consumer Focus'!$I$4:$I$74,0)),"TBD","Low")</f>
        <v>Medium</v>
      </c>
      <c r="F27" s="425" t="str">
        <f>SUBSTITUTE(IFERROR(INDEX('Tumor Priority'!$C$6:$C$77,MATCH('3.1 Model Assumptions &amp; Inputs'!$B27,'Tumor Priority'!$B$6:$B$77,0)),"Base"),"Base","Low")</f>
        <v>Low</v>
      </c>
      <c r="G27" s="428">
        <f t="shared" si="1"/>
        <v>0.5</v>
      </c>
      <c r="H27" s="425">
        <v>0</v>
      </c>
      <c r="I27" s="425">
        <v>0.5</v>
      </c>
      <c r="J27" s="425">
        <v>0</v>
      </c>
      <c r="K27" s="425">
        <v>1</v>
      </c>
      <c r="L27" s="913">
        <f t="shared" si="2"/>
        <v>0</v>
      </c>
      <c r="M27" s="425">
        <v>0</v>
      </c>
      <c r="N27" s="425">
        <f>IF(INDEX('2024 Competitive Landscape'!$N$6:$N$76,MATCH('3.1 Model Assumptions &amp; Inputs'!$B27,'2024 Competitive Landscape'!$L$6:$L$76,0))="High",2, IF(INDEX('2024 Competitive Landscape'!$N$6:$N$76,MATCH('3.1 Model Assumptions &amp; Inputs'!$B27,'2024 Competitive Landscape'!$L$6:$L$76,0))="Medium",1,0))</f>
        <v>0</v>
      </c>
      <c r="O27" s="914">
        <f t="shared" si="3"/>
        <v>0</v>
      </c>
      <c r="P27" s="974">
        <f>INDEX('2024 Unique Customer Segment'!$I$5:$I$75,MATCH('3.1 Model Assumptions &amp; Inputs'!B27,'2024 Unique Customer Segment'!$H$5:$H$75,0))</f>
        <v>0</v>
      </c>
      <c r="Q27" s="922">
        <f>INDEX('2024 Unique Customer Segment'!$I$5:$I$75,MATCH('3.1 Model Assumptions &amp; Inputs'!B27,'2024 Unique Customer Segment'!$H$5:$H$75,0))/COUNTIF($C$21:$C$70,C27)</f>
        <v>0</v>
      </c>
      <c r="R27" s="978">
        <f t="shared" si="4"/>
        <v>0</v>
      </c>
      <c r="S27" s="916"/>
    </row>
    <row r="28" spans="2:20" x14ac:dyDescent="0.35">
      <c r="B28" s="799" t="s">
        <v>77</v>
      </c>
      <c r="C28" s="800" t="str">
        <f>INDEX('MCODE Final Mapping'!$L$6:$L$67,MATCH('3.1 Model Assumptions &amp; Inputs'!$B28,'MCODE Final Mapping'!$K$6:$K$67,0))</f>
        <v>PROMO-US-2024 KEYTRUDA ENDOMETRIAL</v>
      </c>
      <c r="D28" s="425" t="str">
        <f>INDEX('2.  Sales Data Key &amp; Key-Lyn'!$D$7:$D$60,MATCH('3.1 Model Assumptions &amp; Inputs'!$B28,'2.  Sales Data Key &amp; Key-Lyn'!$C$7:$C$60,0))</f>
        <v>Recent Launch</v>
      </c>
      <c r="E28" s="425" t="str">
        <f>SUBSTITUTE(INDEX('2024 Consumer Focus'!$K$4:$K$74,MATCH('3.1 Model Assumptions &amp; Inputs'!$B28,'2024 Consumer Focus'!$I$4:$I$74,0)),"TBD","Low")</f>
        <v>Low</v>
      </c>
      <c r="F28" s="425" t="str">
        <f>SUBSTITUTE(IFERROR(INDEX('Tumor Priority'!$C$6:$C$77,MATCH('3.1 Model Assumptions &amp; Inputs'!$B28,'Tumor Priority'!$B$6:$B$77,0)),"Base"),"Base","Low")</f>
        <v>Low</v>
      </c>
      <c r="G28" s="428">
        <f t="shared" si="1"/>
        <v>0.5</v>
      </c>
      <c r="H28" s="425">
        <v>1</v>
      </c>
      <c r="I28" s="425">
        <v>0.5</v>
      </c>
      <c r="J28" s="425">
        <v>0</v>
      </c>
      <c r="K28" s="425">
        <v>1</v>
      </c>
      <c r="L28" s="913">
        <f t="shared" si="2"/>
        <v>0.25</v>
      </c>
      <c r="M28" s="425">
        <v>0</v>
      </c>
      <c r="N28" s="425">
        <f>IF(INDEX('2024 Competitive Landscape'!$N$6:$N$76,MATCH('3.1 Model Assumptions &amp; Inputs'!$B28,'2024 Competitive Landscape'!$L$6:$L$76,0))="High",2, IF(INDEX('2024 Competitive Landscape'!$N$6:$N$76,MATCH('3.1 Model Assumptions &amp; Inputs'!$B28,'2024 Competitive Landscape'!$L$6:$L$76,0))="Medium",1,0))</f>
        <v>2</v>
      </c>
      <c r="O28" s="914">
        <f t="shared" si="3"/>
        <v>0.5</v>
      </c>
      <c r="P28" s="974">
        <f>INDEX('2024 Unique Customer Segment'!$I$5:$I$75,MATCH('3.1 Model Assumptions &amp; Inputs'!B28,'2024 Unique Customer Segment'!$H$5:$H$75,0))</f>
        <v>0</v>
      </c>
      <c r="Q28" s="922">
        <f>INDEX('2024 Unique Customer Segment'!$I$5:$I$75,MATCH('3.1 Model Assumptions &amp; Inputs'!B28,'2024 Unique Customer Segment'!$H$5:$H$75,0))/COUNTIF($C$21:$C$70,C28)</f>
        <v>0</v>
      </c>
      <c r="R28" s="978">
        <f t="shared" si="4"/>
        <v>2</v>
      </c>
      <c r="S28" s="916"/>
    </row>
    <row r="29" spans="2:20" x14ac:dyDescent="0.35">
      <c r="B29" s="799" t="s">
        <v>347</v>
      </c>
      <c r="C29" s="800" t="str">
        <f>INDEX('MCODE Final Mapping'!$L$6:$L$67,MATCH('3.1 Model Assumptions &amp; Inputs'!$B29,'MCODE Final Mapping'!$K$6:$K$67,0))</f>
        <v>PROMO-US-2024 KEYTRUDA ENDOMETRIAL</v>
      </c>
      <c r="D29" s="425" t="str">
        <f>INDEX('2.  Sales Data Key &amp; Key-Lyn'!$D$7:$D$60,MATCH('3.1 Model Assumptions &amp; Inputs'!$B29,'2.  Sales Data Key &amp; Key-Lyn'!$C$7:$C$60,0))</f>
        <v>Planning Year</v>
      </c>
      <c r="E29" s="425" t="str">
        <f>SUBSTITUTE(INDEX('2024 Consumer Focus'!$K$4:$K$74,MATCH('3.1 Model Assumptions &amp; Inputs'!$B29,'2024 Consumer Focus'!$I$4:$I$74,0)),"TBD","Low")</f>
        <v>Low</v>
      </c>
      <c r="F29" s="425" t="str">
        <f>SUBSTITUTE(IFERROR(INDEX('Tumor Priority'!$C$6:$C$77,MATCH('3.1 Model Assumptions &amp; Inputs'!$B29,'Tumor Priority'!$B$6:$B$77,0)),"Base"),"Base","Low")</f>
        <v>High</v>
      </c>
      <c r="G29" s="428">
        <f t="shared" si="1"/>
        <v>1.5</v>
      </c>
      <c r="H29" s="425">
        <v>1</v>
      </c>
      <c r="I29" s="425">
        <v>0.5</v>
      </c>
      <c r="J29" s="425">
        <v>0</v>
      </c>
      <c r="K29" s="425">
        <v>1</v>
      </c>
      <c r="L29" s="913">
        <f t="shared" si="2"/>
        <v>0.75</v>
      </c>
      <c r="M29" s="425">
        <v>0</v>
      </c>
      <c r="N29" s="425">
        <f>IF(INDEX('2024 Competitive Landscape'!$N$6:$N$76,MATCH('3.1 Model Assumptions &amp; Inputs'!$B29,'2024 Competitive Landscape'!$L$6:$L$76,0))="High",2, IF(INDEX('2024 Competitive Landscape'!$N$6:$N$76,MATCH('3.1 Model Assumptions &amp; Inputs'!$B29,'2024 Competitive Landscape'!$L$6:$L$76,0))="Medium",1,0))</f>
        <v>2</v>
      </c>
      <c r="O29" s="914">
        <f t="shared" si="3"/>
        <v>0.5</v>
      </c>
      <c r="P29" s="974">
        <f>INDEX('2024 Unique Customer Segment'!$I$5:$I$75,MATCH('3.1 Model Assumptions &amp; Inputs'!B29,'2024 Unique Customer Segment'!$H$5:$H$75,0))</f>
        <v>0</v>
      </c>
      <c r="Q29" s="922">
        <f>INDEX('2024 Unique Customer Segment'!$I$5:$I$75,MATCH('3.1 Model Assumptions &amp; Inputs'!B29,'2024 Unique Customer Segment'!$H$5:$H$75,0))/COUNTIF($C$21:$C$70,C29)</f>
        <v>0</v>
      </c>
      <c r="R29" s="978">
        <f t="shared" si="4"/>
        <v>2</v>
      </c>
      <c r="S29" s="916"/>
    </row>
    <row r="30" spans="2:20" x14ac:dyDescent="0.35">
      <c r="B30" s="573" t="s">
        <v>93</v>
      </c>
      <c r="C30" s="425" t="str">
        <f>INDEX('MCODE Final Mapping'!$L$6:$L$67,MATCH('3.1 Model Assumptions &amp; Inputs'!$B30,'MCODE Final Mapping'!$K$6:$K$67,0))</f>
        <v>PROMO-US-2024 KEYTRUDA ENDOMETRIAL</v>
      </c>
      <c r="D30" s="425" t="str">
        <f>INDEX('2.  Sales Data Key &amp; Key-Lyn'!$D$7:$D$60,MATCH('3.1 Model Assumptions &amp; Inputs'!$B30,'2.  Sales Data Key &amp; Key-Lyn'!$C$7:$C$60,0))</f>
        <v>Mature</v>
      </c>
      <c r="E30" s="425" t="str">
        <f>SUBSTITUTE(INDEX('2024 Consumer Focus'!$K$4:$K$74,MATCH('3.1 Model Assumptions &amp; Inputs'!$B30,'2024 Consumer Focus'!$I$4:$I$74,0)),"TBD","Low")</f>
        <v>Low</v>
      </c>
      <c r="F30" s="425" t="str">
        <f>SUBSTITUTE(IFERROR(INDEX('Tumor Priority'!$C$6:$C$77,MATCH('3.1 Model Assumptions &amp; Inputs'!$B30,'Tumor Priority'!$B$6:$B$77,0)),"Base"),"Base","Low")</f>
        <v>Low</v>
      </c>
      <c r="G30" s="428">
        <f t="shared" si="1"/>
        <v>0.5</v>
      </c>
      <c r="H30" s="425">
        <v>0</v>
      </c>
      <c r="I30" s="425">
        <v>0.5</v>
      </c>
      <c r="J30" s="425">
        <v>0</v>
      </c>
      <c r="K30" s="425">
        <v>1</v>
      </c>
      <c r="L30" s="913">
        <f t="shared" si="2"/>
        <v>0</v>
      </c>
      <c r="M30" s="425">
        <v>0</v>
      </c>
      <c r="N30" s="425">
        <f>IF(INDEX('2024 Competitive Landscape'!$N$6:$N$76,MATCH('3.1 Model Assumptions &amp; Inputs'!$B30,'2024 Competitive Landscape'!$L$6:$L$76,0))="High",2, IF(INDEX('2024 Competitive Landscape'!$N$6:$N$76,MATCH('3.1 Model Assumptions &amp; Inputs'!$B30,'2024 Competitive Landscape'!$L$6:$L$76,0))="Medium",1,0))</f>
        <v>2</v>
      </c>
      <c r="O30" s="914">
        <f t="shared" si="3"/>
        <v>0.5</v>
      </c>
      <c r="P30" s="974">
        <f>INDEX('2024 Unique Customer Segment'!$I$5:$I$75,MATCH('3.1 Model Assumptions &amp; Inputs'!B30,'2024 Unique Customer Segment'!$H$5:$H$75,0))</f>
        <v>0</v>
      </c>
      <c r="Q30" s="922">
        <f>INDEX('2024 Unique Customer Segment'!$I$5:$I$75,MATCH('3.1 Model Assumptions &amp; Inputs'!B30,'2024 Unique Customer Segment'!$H$5:$H$75,0))/COUNTIF($C$21:$C$70,C30)</f>
        <v>0</v>
      </c>
      <c r="R30" s="978">
        <f t="shared" si="4"/>
        <v>2</v>
      </c>
      <c r="S30" s="916"/>
    </row>
    <row r="31" spans="2:20" x14ac:dyDescent="0.35">
      <c r="B31" s="573" t="s">
        <v>96</v>
      </c>
      <c r="C31" s="425" t="str">
        <f>INDEX('MCODE Final Mapping'!$L$6:$L$67,MATCH('3.1 Model Assumptions &amp; Inputs'!$B31,'MCODE Final Mapping'!$K$6:$K$67,0))</f>
        <v>PROMO-US-2024 KEYTRUDA ENDOMETRIAL</v>
      </c>
      <c r="D31" s="425" t="str">
        <f>INDEX('2.  Sales Data Key &amp; Key-Lyn'!$D$7:$D$60,MATCH('3.1 Model Assumptions &amp; Inputs'!$B31,'2.  Sales Data Key &amp; Key-Lyn'!$C$7:$C$60,0))</f>
        <v>Mature</v>
      </c>
      <c r="E31" s="425" t="str">
        <f>SUBSTITUTE(INDEX('2024 Consumer Focus'!$K$4:$K$74,MATCH('3.1 Model Assumptions &amp; Inputs'!$B31,'2024 Consumer Focus'!$I$4:$I$74,0)),"TBD","Low")</f>
        <v>Low</v>
      </c>
      <c r="F31" s="425" t="str">
        <f>SUBSTITUTE(IFERROR(INDEX('Tumor Priority'!$C$6:$C$77,MATCH('3.1 Model Assumptions &amp; Inputs'!$B31,'Tumor Priority'!$B$6:$B$77,0)),"Base"),"Base","Low")</f>
        <v>Low</v>
      </c>
      <c r="G31" s="428">
        <f t="shared" si="1"/>
        <v>0.5</v>
      </c>
      <c r="H31" s="425">
        <v>0</v>
      </c>
      <c r="I31" s="425">
        <v>0.5</v>
      </c>
      <c r="J31" s="425">
        <v>0</v>
      </c>
      <c r="K31" s="425">
        <v>1</v>
      </c>
      <c r="L31" s="913">
        <f t="shared" si="2"/>
        <v>0</v>
      </c>
      <c r="M31" s="425">
        <v>0</v>
      </c>
      <c r="N31" s="425">
        <f>IF(INDEX('2024 Competitive Landscape'!$N$6:$N$76,MATCH('3.1 Model Assumptions &amp; Inputs'!$B31,'2024 Competitive Landscape'!$L$6:$L$76,0))="High",2, IF(INDEX('2024 Competitive Landscape'!$N$6:$N$76,MATCH('3.1 Model Assumptions &amp; Inputs'!$B31,'2024 Competitive Landscape'!$L$6:$L$76,0))="Medium",1,0))</f>
        <v>2</v>
      </c>
      <c r="O31" s="914">
        <f t="shared" si="3"/>
        <v>0.5</v>
      </c>
      <c r="P31" s="974">
        <f>INDEX('2024 Unique Customer Segment'!$I$5:$I$75,MATCH('3.1 Model Assumptions &amp; Inputs'!B31,'2024 Unique Customer Segment'!$H$5:$H$75,0))</f>
        <v>0</v>
      </c>
      <c r="Q31" s="922">
        <f>INDEX('2024 Unique Customer Segment'!$I$5:$I$75,MATCH('3.1 Model Assumptions &amp; Inputs'!B31,'2024 Unique Customer Segment'!$H$5:$H$75,0))/COUNTIF($C$21:$C$70,C31)</f>
        <v>0</v>
      </c>
      <c r="R31" s="978">
        <f t="shared" si="4"/>
        <v>2</v>
      </c>
      <c r="S31" s="916"/>
    </row>
    <row r="32" spans="2:20" x14ac:dyDescent="0.35">
      <c r="B32" s="573" t="s">
        <v>108</v>
      </c>
      <c r="C32" s="425" t="str">
        <f>INDEX('MCODE Final Mapping'!$L$6:$L$67,MATCH('3.1 Model Assumptions &amp; Inputs'!$B32,'MCODE Final Mapping'!$K$6:$K$67,0))</f>
        <v>PROMO-US-2024 KEYTRUDA GI</v>
      </c>
      <c r="D32" s="425" t="str">
        <f>INDEX('2.  Sales Data Key &amp; Key-Lyn'!$D$7:$D$60,MATCH('3.1 Model Assumptions &amp; Inputs'!$B32,'2.  Sales Data Key &amp; Key-Lyn'!$C$7:$C$60,0))</f>
        <v>Established</v>
      </c>
      <c r="E32" s="425" t="str">
        <f>SUBSTITUTE(INDEX('2024 Consumer Focus'!$K$4:$K$74,MATCH('3.1 Model Assumptions &amp; Inputs'!$B32,'2024 Consumer Focus'!$I$4:$I$74,0)),"TBD","Low")</f>
        <v>Low</v>
      </c>
      <c r="F32" s="425" t="str">
        <f>SUBSTITUTE(IFERROR(INDEX('Tumor Priority'!$C$6:$C$77,MATCH('3.1 Model Assumptions &amp; Inputs'!$B32,'Tumor Priority'!$B$6:$B$77,0)),"Base"),"Base","Low")</f>
        <v>Medium</v>
      </c>
      <c r="G32" s="428">
        <f t="shared" si="1"/>
        <v>1</v>
      </c>
      <c r="H32" s="425">
        <v>0</v>
      </c>
      <c r="I32" s="429">
        <v>0.5</v>
      </c>
      <c r="J32" s="425">
        <v>0</v>
      </c>
      <c r="K32" s="425">
        <v>1</v>
      </c>
      <c r="L32" s="913">
        <f t="shared" si="2"/>
        <v>0</v>
      </c>
      <c r="M32" s="425">
        <v>0</v>
      </c>
      <c r="N32" s="425">
        <f>IF(INDEX('2024 Competitive Landscape'!$N$6:$N$76,MATCH('3.1 Model Assumptions &amp; Inputs'!$B32,'2024 Competitive Landscape'!$L$6:$L$76,0))="High",2, IF(INDEX('2024 Competitive Landscape'!$N$6:$N$76,MATCH('3.1 Model Assumptions &amp; Inputs'!$B32,'2024 Competitive Landscape'!$L$6:$L$76,0))="Medium",1,0))</f>
        <v>2</v>
      </c>
      <c r="O32" s="914">
        <f t="shared" si="3"/>
        <v>0.18181818181818182</v>
      </c>
      <c r="P32" s="974">
        <f>INDEX('2024 Unique Customer Segment'!$I$5:$I$75,MATCH('3.1 Model Assumptions &amp; Inputs'!B32,'2024 Unique Customer Segment'!$H$5:$H$75,0))</f>
        <v>0</v>
      </c>
      <c r="Q32" s="922">
        <f>INDEX('2024 Unique Customer Segment'!$I$5:$I$75,MATCH('3.1 Model Assumptions &amp; Inputs'!B32,'2024 Unique Customer Segment'!$H$5:$H$75,0))/COUNTIF($C$21:$C$70,C32)</f>
        <v>0</v>
      </c>
      <c r="R32" s="978">
        <f t="shared" si="4"/>
        <v>2</v>
      </c>
      <c r="S32" s="916"/>
    </row>
    <row r="33" spans="1:19" x14ac:dyDescent="0.35">
      <c r="B33" s="573" t="s">
        <v>110</v>
      </c>
      <c r="C33" s="425" t="str">
        <f>INDEX('MCODE Final Mapping'!$L$6:$L$67,MATCH('3.1 Model Assumptions &amp; Inputs'!$B33,'MCODE Final Mapping'!$K$6:$K$67,0))</f>
        <v>PROMO-US-2024 KEYTRUDA GI</v>
      </c>
      <c r="D33" s="425" t="str">
        <f>INDEX('2.  Sales Data Key &amp; Key-Lyn'!$D$7:$D$60,MATCH('3.1 Model Assumptions &amp; Inputs'!$B33,'2.  Sales Data Key &amp; Key-Lyn'!$C$7:$C$60,0))</f>
        <v>Mature</v>
      </c>
      <c r="E33" s="425" t="str">
        <f>SUBSTITUTE(INDEX('2024 Consumer Focus'!$K$4:$K$74,MATCH('3.1 Model Assumptions &amp; Inputs'!$B33,'2024 Consumer Focus'!$I$4:$I$74,0)),"TBD","Low")</f>
        <v>Low</v>
      </c>
      <c r="F33" s="425" t="str">
        <f>SUBSTITUTE(IFERROR(INDEX('Tumor Priority'!$C$6:$C$77,MATCH('3.1 Model Assumptions &amp; Inputs'!$B33,'Tumor Priority'!$B$6:$B$77,0)),"Base"),"Base","Low")</f>
        <v>Low</v>
      </c>
      <c r="G33" s="428">
        <f t="shared" si="1"/>
        <v>0.5</v>
      </c>
      <c r="H33" s="425">
        <v>0</v>
      </c>
      <c r="I33" s="429">
        <v>0.5</v>
      </c>
      <c r="J33" s="425">
        <v>0</v>
      </c>
      <c r="K33" s="425">
        <v>1</v>
      </c>
      <c r="L33" s="913">
        <f t="shared" si="2"/>
        <v>0</v>
      </c>
      <c r="M33" s="425">
        <v>0</v>
      </c>
      <c r="N33" s="425">
        <f>IF(INDEX('2024 Competitive Landscape'!$N$6:$N$76,MATCH('3.1 Model Assumptions &amp; Inputs'!$B33,'2024 Competitive Landscape'!$L$6:$L$76,0))="High",2, IF(INDEX('2024 Competitive Landscape'!$N$6:$N$76,MATCH('3.1 Model Assumptions &amp; Inputs'!$B33,'2024 Competitive Landscape'!$L$6:$L$76,0))="Medium",1,0))</f>
        <v>2</v>
      </c>
      <c r="O33" s="914">
        <f t="shared" si="3"/>
        <v>0.18181818181818182</v>
      </c>
      <c r="P33" s="974">
        <f>INDEX('2024 Unique Customer Segment'!$I$5:$I$75,MATCH('3.1 Model Assumptions &amp; Inputs'!B33,'2024 Unique Customer Segment'!$H$5:$H$75,0))</f>
        <v>0</v>
      </c>
      <c r="Q33" s="922">
        <f>INDEX('2024 Unique Customer Segment'!$I$5:$I$75,MATCH('3.1 Model Assumptions &amp; Inputs'!B33,'2024 Unique Customer Segment'!$H$5:$H$75,0))/COUNTIF($C$21:$C$70,C33)</f>
        <v>0</v>
      </c>
      <c r="R33" s="978">
        <f t="shared" si="4"/>
        <v>2</v>
      </c>
      <c r="S33" s="916"/>
    </row>
    <row r="34" spans="1:19" x14ac:dyDescent="0.35">
      <c r="A34" s="287" t="s">
        <v>1252</v>
      </c>
      <c r="B34" s="943" t="s">
        <v>122</v>
      </c>
      <c r="C34" s="952" t="str">
        <f>INDEX('MCODE Final Mapping'!$L$6:$L$67,MATCH('3.1 Model Assumptions &amp; Inputs'!$B34,'MCODE Final Mapping'!$K$6:$K$67,0))</f>
        <v>PROMO-US-2024 KEYTRUDA GI</v>
      </c>
      <c r="D34" s="425" t="str">
        <f>INDEX('2.  Sales Data Key &amp; Key-Lyn'!$D$7:$D$60,MATCH('3.1 Model Assumptions &amp; Inputs'!$B34,'2.  Sales Data Key &amp; Key-Lyn'!$C$7:$C$60,0))</f>
        <v>Planning Year</v>
      </c>
      <c r="E34" s="425" t="str">
        <f>SUBSTITUTE(INDEX('2024 Consumer Focus'!$K$4:$K$74,MATCH('3.1 Model Assumptions &amp; Inputs'!$B34,'2024 Consumer Focus'!$I$4:$I$74,0)),"TBD","Low")</f>
        <v>High</v>
      </c>
      <c r="F34" s="425" t="str">
        <f>SUBSTITUTE(IFERROR(INDEX('Tumor Priority'!$C$6:$C$77,MATCH('3.1 Model Assumptions &amp; Inputs'!$B34,'Tumor Priority'!$B$6:$B$77,0)),"Base"),"Base","Low")</f>
        <v>Low</v>
      </c>
      <c r="G34" s="428">
        <f t="shared" si="1"/>
        <v>0.5</v>
      </c>
      <c r="H34" s="425">
        <v>1</v>
      </c>
      <c r="I34" s="429">
        <v>0.5</v>
      </c>
      <c r="J34" s="425">
        <v>0</v>
      </c>
      <c r="K34" s="425">
        <v>1</v>
      </c>
      <c r="L34" s="913">
        <f t="shared" si="2"/>
        <v>0.25</v>
      </c>
      <c r="M34" s="425">
        <v>0</v>
      </c>
      <c r="N34" s="425">
        <f>IF(INDEX('2024 Competitive Landscape'!$N$6:$N$76,MATCH('3.1 Model Assumptions &amp; Inputs'!$B34,'2024 Competitive Landscape'!$L$6:$L$76,0))="High",2, IF(INDEX('2024 Competitive Landscape'!$N$6:$N$76,MATCH('3.1 Model Assumptions &amp; Inputs'!$B34,'2024 Competitive Landscape'!$L$6:$L$76,0))="Medium",1,0))</f>
        <v>2</v>
      </c>
      <c r="O34" s="914">
        <f t="shared" si="3"/>
        <v>0.18181818181818182</v>
      </c>
      <c r="P34" s="974">
        <f>INDEX('2024 Unique Customer Segment'!$I$5:$I$75,MATCH('3.1 Model Assumptions &amp; Inputs'!B34,'2024 Unique Customer Segment'!$H$5:$H$75,0))</f>
        <v>0</v>
      </c>
      <c r="Q34" s="922">
        <f>INDEX('2024 Unique Customer Segment'!$I$5:$I$75,MATCH('3.1 Model Assumptions &amp; Inputs'!B34,'2024 Unique Customer Segment'!$H$5:$H$75,0))/COUNTIF($C$21:$C$70,C34)</f>
        <v>0</v>
      </c>
      <c r="R34" s="978">
        <f t="shared" si="4"/>
        <v>2</v>
      </c>
      <c r="S34" s="916"/>
    </row>
    <row r="35" spans="1:19" x14ac:dyDescent="0.35">
      <c r="B35" s="573" t="s">
        <v>124</v>
      </c>
      <c r="C35" s="425" t="str">
        <f>INDEX('MCODE Final Mapping'!$L$6:$L$67,MATCH('3.1 Model Assumptions &amp; Inputs'!$B35,'MCODE Final Mapping'!$K$6:$K$67,0))</f>
        <v>PROMO-US-2024 KEYTRUDA GI</v>
      </c>
      <c r="D35" s="425" t="str">
        <f>INDEX('2.  Sales Data Key &amp; Key-Lyn'!$D$7:$D$60,MATCH('3.1 Model Assumptions &amp; Inputs'!$B35,'2.  Sales Data Key &amp; Key-Lyn'!$C$7:$C$60,0))</f>
        <v>Mature</v>
      </c>
      <c r="E35" s="425" t="str">
        <f>SUBSTITUTE(INDEX('2024 Consumer Focus'!$K$4:$K$74,MATCH('3.1 Model Assumptions &amp; Inputs'!$B35,'2024 Consumer Focus'!$I$4:$I$74,0)),"TBD","Low")</f>
        <v>High</v>
      </c>
      <c r="F35" s="425" t="str">
        <f>SUBSTITUTE(IFERROR(INDEX('Tumor Priority'!$C$6:$C$77,MATCH('3.1 Model Assumptions &amp; Inputs'!$B35,'Tumor Priority'!$B$6:$B$77,0)),"Base"),"Base","Low")</f>
        <v>Low</v>
      </c>
      <c r="G35" s="428">
        <f t="shared" si="1"/>
        <v>0.5</v>
      </c>
      <c r="H35" s="425">
        <v>0</v>
      </c>
      <c r="I35" s="429">
        <v>0.5</v>
      </c>
      <c r="J35" s="425">
        <v>0</v>
      </c>
      <c r="K35" s="425">
        <v>1</v>
      </c>
      <c r="L35" s="913">
        <f t="shared" si="2"/>
        <v>0</v>
      </c>
      <c r="M35" s="425">
        <v>0</v>
      </c>
      <c r="N35" s="425">
        <f>IF(INDEX('2024 Competitive Landscape'!$N$6:$N$76,MATCH('3.1 Model Assumptions &amp; Inputs'!$B35,'2024 Competitive Landscape'!$L$6:$L$76,0))="High",2, IF(INDEX('2024 Competitive Landscape'!$N$6:$N$76,MATCH('3.1 Model Assumptions &amp; Inputs'!$B35,'2024 Competitive Landscape'!$L$6:$L$76,0))="Medium",1,0))</f>
        <v>2</v>
      </c>
      <c r="O35" s="914">
        <f t="shared" si="3"/>
        <v>0.18181818181818182</v>
      </c>
      <c r="P35" s="974">
        <f>INDEX('2024 Unique Customer Segment'!$I$5:$I$75,MATCH('3.1 Model Assumptions &amp; Inputs'!B35,'2024 Unique Customer Segment'!$H$5:$H$75,0))</f>
        <v>0</v>
      </c>
      <c r="Q35" s="922">
        <f>INDEX('2024 Unique Customer Segment'!$I$5:$I$75,MATCH('3.1 Model Assumptions &amp; Inputs'!B35,'2024 Unique Customer Segment'!$H$5:$H$75,0))/COUNTIF($C$21:$C$70,C35)</f>
        <v>0</v>
      </c>
      <c r="R35" s="978">
        <f t="shared" si="4"/>
        <v>2</v>
      </c>
      <c r="S35" s="916"/>
    </row>
    <row r="36" spans="1:19" x14ac:dyDescent="0.35">
      <c r="B36" s="573" t="s">
        <v>126</v>
      </c>
      <c r="C36" s="425" t="str">
        <f>INDEX('MCODE Final Mapping'!$L$6:$L$67,MATCH('3.1 Model Assumptions &amp; Inputs'!$B36,'MCODE Final Mapping'!$K$6:$K$67,0))</f>
        <v>PROMO-US-2024 KEYTRUDA GI</v>
      </c>
      <c r="D36" s="425" t="str">
        <f>INDEX('2.  Sales Data Key &amp; Key-Lyn'!$D$7:$D$60,MATCH('3.1 Model Assumptions &amp; Inputs'!$B36,'2.  Sales Data Key &amp; Key-Lyn'!$C$7:$C$60,0))</f>
        <v>Mature</v>
      </c>
      <c r="E36" s="425" t="str">
        <f>SUBSTITUTE(INDEX('2024 Consumer Focus'!$K$4:$K$74,MATCH('3.1 Model Assumptions &amp; Inputs'!$B36,'2024 Consumer Focus'!$I$4:$I$74,0)),"TBD","Low")</f>
        <v>High</v>
      </c>
      <c r="F36" s="425" t="str">
        <f>SUBSTITUTE(IFERROR(INDEX('Tumor Priority'!$C$6:$C$77,MATCH('3.1 Model Assumptions &amp; Inputs'!$B36,'Tumor Priority'!$B$6:$B$77,0)),"Base"),"Base","Low")</f>
        <v>Low</v>
      </c>
      <c r="G36" s="428">
        <f t="shared" si="1"/>
        <v>0.5</v>
      </c>
      <c r="H36" s="425">
        <v>0</v>
      </c>
      <c r="I36" s="429">
        <v>0.5</v>
      </c>
      <c r="J36" s="425">
        <v>0</v>
      </c>
      <c r="K36" s="425">
        <v>1</v>
      </c>
      <c r="L36" s="913">
        <f t="shared" si="2"/>
        <v>0</v>
      </c>
      <c r="M36" s="425">
        <v>0</v>
      </c>
      <c r="N36" s="425">
        <f>IF(INDEX('2024 Competitive Landscape'!$N$6:$N$76,MATCH('3.1 Model Assumptions &amp; Inputs'!$B36,'2024 Competitive Landscape'!$L$6:$L$76,0))="High",2, IF(INDEX('2024 Competitive Landscape'!$N$6:$N$76,MATCH('3.1 Model Assumptions &amp; Inputs'!$B36,'2024 Competitive Landscape'!$L$6:$L$76,0))="Medium",1,0))</f>
        <v>2</v>
      </c>
      <c r="O36" s="914">
        <f t="shared" si="3"/>
        <v>0.18181818181818182</v>
      </c>
      <c r="P36" s="974">
        <f>INDEX('2024 Unique Customer Segment'!$I$5:$I$75,MATCH('3.1 Model Assumptions &amp; Inputs'!B36,'2024 Unique Customer Segment'!$H$5:$H$75,0))</f>
        <v>0</v>
      </c>
      <c r="Q36" s="922">
        <f>INDEX('2024 Unique Customer Segment'!$I$5:$I$75,MATCH('3.1 Model Assumptions &amp; Inputs'!B36,'2024 Unique Customer Segment'!$H$5:$H$75,0))/COUNTIF($C$21:$C$70,C36)</f>
        <v>0</v>
      </c>
      <c r="R36" s="978">
        <f t="shared" si="4"/>
        <v>2</v>
      </c>
      <c r="S36" s="916"/>
    </row>
    <row r="37" spans="1:19" x14ac:dyDescent="0.35">
      <c r="B37" s="573" t="s">
        <v>133</v>
      </c>
      <c r="C37" s="425" t="str">
        <f>INDEX('MCODE Final Mapping'!$L$6:$L$67,MATCH('3.1 Model Assumptions &amp; Inputs'!$B37,'MCODE Final Mapping'!$K$6:$K$67,0))</f>
        <v>PROMO-US-2024 KEYTRUDA GI</v>
      </c>
      <c r="D37" s="425" t="str">
        <f>INDEX('2.  Sales Data Key &amp; Key-Lyn'!$D$7:$D$60,MATCH('3.1 Model Assumptions &amp; Inputs'!$B37,'2.  Sales Data Key &amp; Key-Lyn'!$C$7:$C$60,0))</f>
        <v>Mature</v>
      </c>
      <c r="E37" s="425" t="str">
        <f>SUBSTITUTE(INDEX('2024 Consumer Focus'!$K$4:$K$74,MATCH('3.1 Model Assumptions &amp; Inputs'!$B37,'2024 Consumer Focus'!$I$4:$I$74,0)),"TBD","Low")</f>
        <v>Low</v>
      </c>
      <c r="F37" s="425" t="str">
        <f>SUBSTITUTE(IFERROR(INDEX('Tumor Priority'!$C$6:$C$77,MATCH('3.1 Model Assumptions &amp; Inputs'!$B37,'Tumor Priority'!$B$6:$B$77,0)),"Base"),"Base","Low")</f>
        <v>Low</v>
      </c>
      <c r="G37" s="428">
        <f t="shared" si="1"/>
        <v>0.5</v>
      </c>
      <c r="H37" s="425">
        <v>0</v>
      </c>
      <c r="I37" s="429">
        <v>0.5</v>
      </c>
      <c r="J37" s="425">
        <v>0</v>
      </c>
      <c r="K37" s="425">
        <v>1</v>
      </c>
      <c r="L37" s="913">
        <f t="shared" si="2"/>
        <v>0</v>
      </c>
      <c r="M37" s="425">
        <v>0</v>
      </c>
      <c r="N37" s="425">
        <f>IF(INDEX('2024 Competitive Landscape'!$N$6:$N$76,MATCH('3.1 Model Assumptions &amp; Inputs'!$B37,'2024 Competitive Landscape'!$L$6:$L$76,0))="High",2, IF(INDEX('2024 Competitive Landscape'!$N$6:$N$76,MATCH('3.1 Model Assumptions &amp; Inputs'!$B37,'2024 Competitive Landscape'!$L$6:$L$76,0))="Medium",1,0))</f>
        <v>2</v>
      </c>
      <c r="O37" s="914">
        <f t="shared" si="3"/>
        <v>0.18181818181818182</v>
      </c>
      <c r="P37" s="974">
        <f>INDEX('2024 Unique Customer Segment'!$I$5:$I$75,MATCH('3.1 Model Assumptions &amp; Inputs'!B37,'2024 Unique Customer Segment'!$H$5:$H$75,0))</f>
        <v>0</v>
      </c>
      <c r="Q37" s="922">
        <f>INDEX('2024 Unique Customer Segment'!$I$5:$I$75,MATCH('3.1 Model Assumptions &amp; Inputs'!B37,'2024 Unique Customer Segment'!$H$5:$H$75,0))/COUNTIF($C$21:$C$70,C37)</f>
        <v>0</v>
      </c>
      <c r="R37" s="978">
        <f t="shared" si="4"/>
        <v>2</v>
      </c>
      <c r="S37" s="916"/>
    </row>
    <row r="38" spans="1:19" x14ac:dyDescent="0.35">
      <c r="B38" s="573" t="s">
        <v>136</v>
      </c>
      <c r="C38" s="425" t="str">
        <f>INDEX('MCODE Final Mapping'!$L$6:$L$67,MATCH('3.1 Model Assumptions &amp; Inputs'!$B38,'MCODE Final Mapping'!$K$6:$K$67,0))</f>
        <v>PROMO-US-2024 KEYTRUDA GI</v>
      </c>
      <c r="D38" s="425" t="str">
        <f>INDEX('2.  Sales Data Key &amp; Key-Lyn'!$D$7:$D$60,MATCH('3.1 Model Assumptions &amp; Inputs'!$B38,'2.  Sales Data Key &amp; Key-Lyn'!$C$7:$C$60,0))</f>
        <v>Future Launch</v>
      </c>
      <c r="E38" s="425" t="str">
        <f>SUBSTITUTE(INDEX('2024 Consumer Focus'!$K$4:$K$74,MATCH('3.1 Model Assumptions &amp; Inputs'!$B38,'2024 Consumer Focus'!$I$4:$I$74,0)),"TBD","Low")</f>
        <v>Low</v>
      </c>
      <c r="F38" s="425" t="str">
        <f>SUBSTITUTE(IFERROR(INDEX('Tumor Priority'!$C$6:$C$77,MATCH('3.1 Model Assumptions &amp; Inputs'!$B38,'Tumor Priority'!$B$6:$B$77,0)),"Base"),"Base","Low")</f>
        <v>Low</v>
      </c>
      <c r="G38" s="428">
        <f t="shared" si="1"/>
        <v>0.5</v>
      </c>
      <c r="H38" s="425">
        <v>0</v>
      </c>
      <c r="I38" s="429">
        <v>0.5</v>
      </c>
      <c r="J38" s="425">
        <v>0</v>
      </c>
      <c r="K38" s="425">
        <v>1</v>
      </c>
      <c r="L38" s="913">
        <f t="shared" si="2"/>
        <v>0</v>
      </c>
      <c r="M38" s="425">
        <v>0</v>
      </c>
      <c r="N38" s="425">
        <f>IF(INDEX('2024 Competitive Landscape'!$N$6:$N$76,MATCH('3.1 Model Assumptions &amp; Inputs'!$B38,'2024 Competitive Landscape'!$L$6:$L$76,0))="High",2, IF(INDEX('2024 Competitive Landscape'!$N$6:$N$76,MATCH('3.1 Model Assumptions &amp; Inputs'!$B38,'2024 Competitive Landscape'!$L$6:$L$76,0))="Medium",1,0))</f>
        <v>2</v>
      </c>
      <c r="O38" s="914">
        <f t="shared" si="3"/>
        <v>0.18181818181818182</v>
      </c>
      <c r="P38" s="974">
        <f>INDEX('2024 Unique Customer Segment'!$I$5:$I$75,MATCH('3.1 Model Assumptions &amp; Inputs'!B38,'2024 Unique Customer Segment'!$H$5:$H$75,0))</f>
        <v>1</v>
      </c>
      <c r="Q38" s="922">
        <f>INDEX('2024 Unique Customer Segment'!$I$5:$I$75,MATCH('3.1 Model Assumptions &amp; Inputs'!B38,'2024 Unique Customer Segment'!$H$5:$H$75,0))/COUNTIF($C$21:$C$70,C38)</f>
        <v>9.0909090909090912E-2</v>
      </c>
      <c r="R38" s="978">
        <f t="shared" si="4"/>
        <v>3</v>
      </c>
      <c r="S38" s="916"/>
    </row>
    <row r="39" spans="1:19" x14ac:dyDescent="0.35">
      <c r="B39" s="573" t="s">
        <v>149</v>
      </c>
      <c r="C39" s="425" t="str">
        <f>INDEX('MCODE Final Mapping'!$L$6:$L$67,MATCH('3.1 Model Assumptions &amp; Inputs'!$B39,'MCODE Final Mapping'!$K$6:$K$67,0))</f>
        <v>PROMO-US-2024 KEYTRUDA H&amp;N</v>
      </c>
      <c r="D39" s="425" t="str">
        <f>INDEX('2.  Sales Data Key &amp; Key-Lyn'!$D$7:$D$60,MATCH('3.1 Model Assumptions &amp; Inputs'!$B39,'2.  Sales Data Key &amp; Key-Lyn'!$C$7:$C$60,0))</f>
        <v>Mature</v>
      </c>
      <c r="E39" s="425" t="str">
        <f>SUBSTITUTE(INDEX('2024 Consumer Focus'!$K$4:$K$74,MATCH('3.1 Model Assumptions &amp; Inputs'!$B39,'2024 Consumer Focus'!$I$4:$I$74,0)),"TBD","Low")</f>
        <v>Medium</v>
      </c>
      <c r="F39" s="425" t="str">
        <f>SUBSTITUTE(IFERROR(INDEX('Tumor Priority'!$C$6:$C$77,MATCH('3.1 Model Assumptions &amp; Inputs'!$B39,'Tumor Priority'!$B$6:$B$77,0)),"Base"),"Base","Low")</f>
        <v>High</v>
      </c>
      <c r="G39" s="428">
        <f t="shared" si="1"/>
        <v>1.5</v>
      </c>
      <c r="H39" s="425">
        <v>0</v>
      </c>
      <c r="I39" s="429">
        <v>0.5</v>
      </c>
      <c r="J39" s="425">
        <v>0</v>
      </c>
      <c r="K39" s="425">
        <v>1</v>
      </c>
      <c r="L39" s="913">
        <f t="shared" si="2"/>
        <v>0</v>
      </c>
      <c r="M39" s="425">
        <v>0</v>
      </c>
      <c r="N39" s="425">
        <f>IF(INDEX('2024 Competitive Landscape'!$N$6:$N$76,MATCH('3.1 Model Assumptions &amp; Inputs'!$B39,'2024 Competitive Landscape'!$L$6:$L$76,0))="High",2, IF(INDEX('2024 Competitive Landscape'!$N$6:$N$76,MATCH('3.1 Model Assumptions &amp; Inputs'!$B39,'2024 Competitive Landscape'!$L$6:$L$76,0))="Medium",1,0))</f>
        <v>0</v>
      </c>
      <c r="O39" s="914">
        <f t="shared" si="3"/>
        <v>0</v>
      </c>
      <c r="P39" s="974">
        <f>INDEX('2024 Unique Customer Segment'!$I$5:$I$75,MATCH('3.1 Model Assumptions &amp; Inputs'!B39,'2024 Unique Customer Segment'!$H$5:$H$75,0))</f>
        <v>0</v>
      </c>
      <c r="Q39" s="922">
        <f>INDEX('2024 Unique Customer Segment'!$I$5:$I$75,MATCH('3.1 Model Assumptions &amp; Inputs'!B39,'2024 Unique Customer Segment'!$H$5:$H$75,0))/COUNTIF($C$21:$C$70,C39)</f>
        <v>0</v>
      </c>
      <c r="R39" s="978">
        <f t="shared" si="4"/>
        <v>0</v>
      </c>
      <c r="S39" s="916"/>
    </row>
    <row r="40" spans="1:19" x14ac:dyDescent="0.35">
      <c r="B40" s="573" t="s">
        <v>153</v>
      </c>
      <c r="C40" s="425" t="str">
        <f>INDEX('MCODE Final Mapping'!$L$6:$L$67,MATCH('3.1 Model Assumptions &amp; Inputs'!$B40,'MCODE Final Mapping'!$K$6:$K$67,0))</f>
        <v>PROMO-US-2024 KEYTRUDA H&amp;N</v>
      </c>
      <c r="D40" s="425" t="str">
        <f>INDEX('2.  Sales Data Key &amp; Key-Lyn'!$D$7:$D$60,MATCH('3.1 Model Assumptions &amp; Inputs'!$B40,'2.  Sales Data Key &amp; Key-Lyn'!$C$7:$C$60,0))</f>
        <v>Mature</v>
      </c>
      <c r="E40" s="425" t="str">
        <f>SUBSTITUTE(INDEX('2024 Consumer Focus'!$K$4:$K$74,MATCH('3.1 Model Assumptions &amp; Inputs'!$B40,'2024 Consumer Focus'!$I$4:$I$74,0)),"TBD","Low")</f>
        <v>Medium</v>
      </c>
      <c r="F40" s="425" t="str">
        <f>SUBSTITUTE(IFERROR(INDEX('Tumor Priority'!$C$6:$C$77,MATCH('3.1 Model Assumptions &amp; Inputs'!$B40,'Tumor Priority'!$B$6:$B$77,0)),"Base"),"Base","Low")</f>
        <v>Low</v>
      </c>
      <c r="G40" s="428">
        <f t="shared" si="1"/>
        <v>0.5</v>
      </c>
      <c r="H40" s="425">
        <v>0</v>
      </c>
      <c r="I40" s="429">
        <v>0.5</v>
      </c>
      <c r="J40" s="425">
        <v>0</v>
      </c>
      <c r="K40" s="425">
        <v>1</v>
      </c>
      <c r="L40" s="913">
        <f t="shared" si="2"/>
        <v>0</v>
      </c>
      <c r="M40" s="425">
        <v>0</v>
      </c>
      <c r="N40" s="425">
        <f>IF(INDEX('2024 Competitive Landscape'!$N$6:$N$76,MATCH('3.1 Model Assumptions &amp; Inputs'!$B40,'2024 Competitive Landscape'!$L$6:$L$76,0))="High",2, IF(INDEX('2024 Competitive Landscape'!$N$6:$N$76,MATCH('3.1 Model Assumptions &amp; Inputs'!$B40,'2024 Competitive Landscape'!$L$6:$L$76,0))="Medium",1,0))</f>
        <v>0</v>
      </c>
      <c r="O40" s="914">
        <f t="shared" si="3"/>
        <v>0</v>
      </c>
      <c r="P40" s="974">
        <f>INDEX('2024 Unique Customer Segment'!$I$5:$I$75,MATCH('3.1 Model Assumptions &amp; Inputs'!B40,'2024 Unique Customer Segment'!$H$5:$H$75,0))</f>
        <v>0</v>
      </c>
      <c r="Q40" s="922">
        <f>INDEX('2024 Unique Customer Segment'!$I$5:$I$75,MATCH('3.1 Model Assumptions &amp; Inputs'!B40,'2024 Unique Customer Segment'!$H$5:$H$75,0))/COUNTIF($C$21:$C$70,C40)</f>
        <v>0</v>
      </c>
      <c r="R40" s="978">
        <f t="shared" si="4"/>
        <v>0</v>
      </c>
      <c r="S40" s="916"/>
    </row>
    <row r="41" spans="1:19" x14ac:dyDescent="0.35">
      <c r="B41" s="573" t="s">
        <v>156</v>
      </c>
      <c r="C41" s="425" t="str">
        <f>INDEX('MCODE Final Mapping'!$L$6:$L$67,MATCH('3.1 Model Assumptions &amp; Inputs'!$B41,'MCODE Final Mapping'!$K$6:$K$67,0))</f>
        <v>PROMO-US-2024 KEYTRUDA H&amp;N</v>
      </c>
      <c r="D41" s="425" t="str">
        <f>INDEX('2.  Sales Data Key &amp; Key-Lyn'!$D$7:$D$60,MATCH('3.1 Model Assumptions &amp; Inputs'!$B41,'2.  Sales Data Key &amp; Key-Lyn'!$C$7:$C$60,0))</f>
        <v>Future Launch</v>
      </c>
      <c r="E41" s="425" t="str">
        <f>SUBSTITUTE(INDEX('2024 Consumer Focus'!$K$4:$K$74,MATCH('3.1 Model Assumptions &amp; Inputs'!$B41,'2024 Consumer Focus'!$I$4:$I$74,0)),"TBD","Low")</f>
        <v>Medium</v>
      </c>
      <c r="F41" s="425" t="str">
        <f>SUBSTITUTE(IFERROR(INDEX('Tumor Priority'!$C$6:$C$77,MATCH('3.1 Model Assumptions &amp; Inputs'!$B41,'Tumor Priority'!$B$6:$B$77,0)),"Base"),"Base","Low")</f>
        <v>Low</v>
      </c>
      <c r="G41" s="428">
        <f t="shared" si="1"/>
        <v>0.5</v>
      </c>
      <c r="H41" s="425">
        <v>0</v>
      </c>
      <c r="I41" s="429">
        <v>0.5</v>
      </c>
      <c r="J41" s="425">
        <v>0</v>
      </c>
      <c r="K41" s="425">
        <v>1</v>
      </c>
      <c r="L41" s="913">
        <f t="shared" si="2"/>
        <v>0</v>
      </c>
      <c r="M41" s="425">
        <v>0</v>
      </c>
      <c r="N41" s="425">
        <f>IF(INDEX('2024 Competitive Landscape'!$N$6:$N$76,MATCH('3.1 Model Assumptions &amp; Inputs'!$B41,'2024 Competitive Landscape'!$L$6:$L$76,0))="High",2, IF(INDEX('2024 Competitive Landscape'!$N$6:$N$76,MATCH('3.1 Model Assumptions &amp; Inputs'!$B41,'2024 Competitive Landscape'!$L$6:$L$76,0))="Medium",1,0))</f>
        <v>0</v>
      </c>
      <c r="O41" s="914">
        <f t="shared" si="3"/>
        <v>0</v>
      </c>
      <c r="P41" s="974">
        <f>INDEX('2024 Unique Customer Segment'!$I$5:$I$75,MATCH('3.1 Model Assumptions &amp; Inputs'!B41,'2024 Unique Customer Segment'!$H$5:$H$75,0))</f>
        <v>1</v>
      </c>
      <c r="Q41" s="922">
        <f>INDEX('2024 Unique Customer Segment'!$I$5:$I$75,MATCH('3.1 Model Assumptions &amp; Inputs'!B41,'2024 Unique Customer Segment'!$H$5:$H$75,0))/COUNTIF($C$21:$C$70,C41)</f>
        <v>0.25</v>
      </c>
      <c r="R41" s="978">
        <f t="shared" si="4"/>
        <v>1</v>
      </c>
      <c r="S41" s="916"/>
    </row>
    <row r="42" spans="1:19" x14ac:dyDescent="0.35">
      <c r="B42" s="573" t="s">
        <v>163</v>
      </c>
      <c r="C42" s="425" t="str">
        <f>INDEX('MCODE Final Mapping'!$L$6:$L$67,MATCH('3.1 Model Assumptions &amp; Inputs'!$B42,'MCODE Final Mapping'!$K$6:$K$67,0))</f>
        <v>PROMO-US-2024 KEYTRUDA HEME / cHL</v>
      </c>
      <c r="D42" s="425" t="str">
        <f>INDEX('2.  Sales Data Key &amp; Key-Lyn'!$D$7:$D$60,MATCH('3.1 Model Assumptions &amp; Inputs'!$B42,'2.  Sales Data Key &amp; Key-Lyn'!$C$7:$C$60,0))</f>
        <v>Mature</v>
      </c>
      <c r="E42" s="425" t="str">
        <f>SUBSTITUTE(INDEX('2024 Consumer Focus'!$K$4:$K$74,MATCH('3.1 Model Assumptions &amp; Inputs'!$B42,'2024 Consumer Focus'!$I$4:$I$74,0)),"TBD","Low")</f>
        <v>Low</v>
      </c>
      <c r="F42" s="425" t="str">
        <f>SUBSTITUTE(IFERROR(INDEX('Tumor Priority'!$C$6:$C$77,MATCH('3.1 Model Assumptions &amp; Inputs'!$B42,'Tumor Priority'!$B$6:$B$77,0)),"Base"),"Base","Low")</f>
        <v>Low</v>
      </c>
      <c r="G42" s="428">
        <f t="shared" si="1"/>
        <v>0.5</v>
      </c>
      <c r="H42" s="425">
        <v>0</v>
      </c>
      <c r="I42" s="429">
        <v>0.5</v>
      </c>
      <c r="J42" s="425">
        <v>0</v>
      </c>
      <c r="K42" s="425">
        <v>1</v>
      </c>
      <c r="L42" s="913">
        <f t="shared" si="2"/>
        <v>0</v>
      </c>
      <c r="M42" s="425">
        <v>0</v>
      </c>
      <c r="N42" s="425">
        <f>IF(INDEX('2024 Competitive Landscape'!$N$6:$N$76,MATCH('3.1 Model Assumptions &amp; Inputs'!$B42,'2024 Competitive Landscape'!$L$6:$L$76,0))="High",2, IF(INDEX('2024 Competitive Landscape'!$N$6:$N$76,MATCH('3.1 Model Assumptions &amp; Inputs'!$B42,'2024 Competitive Landscape'!$L$6:$L$76,0))="Medium",1,0))</f>
        <v>1</v>
      </c>
      <c r="O42" s="914">
        <f t="shared" si="3"/>
        <v>1</v>
      </c>
      <c r="P42" s="974">
        <f>INDEX('2024 Unique Customer Segment'!$I$5:$I$75,MATCH('3.1 Model Assumptions &amp; Inputs'!B42,'2024 Unique Customer Segment'!$H$5:$H$75,0))</f>
        <v>0</v>
      </c>
      <c r="Q42" s="922">
        <f>INDEX('2024 Unique Customer Segment'!$I$5:$I$75,MATCH('3.1 Model Assumptions &amp; Inputs'!B42,'2024 Unique Customer Segment'!$H$5:$H$75,0))/COUNTIF($C$21:$C$70,C42)</f>
        <v>0</v>
      </c>
      <c r="R42" s="978">
        <f t="shared" si="4"/>
        <v>1</v>
      </c>
      <c r="S42" s="916"/>
    </row>
    <row r="43" spans="1:19" x14ac:dyDescent="0.35">
      <c r="B43" s="573" t="s">
        <v>168</v>
      </c>
      <c r="C43" s="425" t="str">
        <f>INDEX('MCODE Final Mapping'!$L$6:$L$67,MATCH('3.1 Model Assumptions &amp; Inputs'!$B43,'MCODE Final Mapping'!$K$6:$K$67,0))</f>
        <v>PROMO-US-2024 KEYTRUDA BREAST CANC</v>
      </c>
      <c r="D43" s="425" t="str">
        <f>INDEX('2.  Sales Data Key &amp; Key-Lyn'!$D$7:$D$60,MATCH('3.1 Model Assumptions &amp; Inputs'!$B43,'2.  Sales Data Key &amp; Key-Lyn'!$C$7:$C$60,0))</f>
        <v>Future Launch</v>
      </c>
      <c r="E43" s="425" t="str">
        <f>SUBSTITUTE(INDEX('2024 Consumer Focus'!$K$4:$K$74,MATCH('3.1 Model Assumptions &amp; Inputs'!$B43,'2024 Consumer Focus'!$I$4:$I$74,0)),"TBD","Low")</f>
        <v>High</v>
      </c>
      <c r="F43" s="425" t="str">
        <f>SUBSTITUTE(IFERROR(INDEX('Tumor Priority'!$C$6:$C$77,MATCH('3.1 Model Assumptions &amp; Inputs'!$B43,'Tumor Priority'!$B$6:$B$77,0)),"Base"),"Base","Low")</f>
        <v>Low</v>
      </c>
      <c r="G43" s="428">
        <f t="shared" si="1"/>
        <v>0.5</v>
      </c>
      <c r="H43" s="425">
        <v>0</v>
      </c>
      <c r="I43" s="429">
        <v>0.5</v>
      </c>
      <c r="J43" s="425">
        <v>0</v>
      </c>
      <c r="K43" s="425">
        <v>1</v>
      </c>
      <c r="L43" s="913">
        <f t="shared" si="2"/>
        <v>0</v>
      </c>
      <c r="M43" s="425">
        <v>0</v>
      </c>
      <c r="N43" s="425">
        <f>IF(INDEX('2024 Competitive Landscape'!$N$6:$N$76,MATCH('3.1 Model Assumptions &amp; Inputs'!$B43,'2024 Competitive Landscape'!$L$6:$L$76,0))="High",2, IF(INDEX('2024 Competitive Landscape'!$N$6:$N$76,MATCH('3.1 Model Assumptions &amp; Inputs'!$B43,'2024 Competitive Landscape'!$L$6:$L$76,0))="Medium",1,0))</f>
        <v>2</v>
      </c>
      <c r="O43" s="914">
        <f t="shared" si="3"/>
        <v>0.5</v>
      </c>
      <c r="P43" s="974">
        <f>INDEX('2024 Unique Customer Segment'!$I$5:$I$75,MATCH('3.1 Model Assumptions &amp; Inputs'!B43,'2024 Unique Customer Segment'!$H$5:$H$75,0))</f>
        <v>0</v>
      </c>
      <c r="Q43" s="922">
        <f>INDEX('2024 Unique Customer Segment'!$I$5:$I$75,MATCH('3.1 Model Assumptions &amp; Inputs'!B43,'2024 Unique Customer Segment'!$H$5:$H$75,0))/COUNTIF($C$21:$C$70,C43)</f>
        <v>0</v>
      </c>
      <c r="R43" s="978">
        <f t="shared" si="4"/>
        <v>2</v>
      </c>
      <c r="S43" s="916"/>
    </row>
    <row r="44" spans="1:19" x14ac:dyDescent="0.35">
      <c r="B44" s="573" t="s">
        <v>173</v>
      </c>
      <c r="C44" s="425" t="str">
        <f>INDEX('MCODE Final Mapping'!$L$6:$L$67,MATCH('3.1 Model Assumptions &amp; Inputs'!$B44,'MCODE Final Mapping'!$K$6:$K$67,0))</f>
        <v>PROMO-US-2024 KEYTRUDA SKIN CANCER</v>
      </c>
      <c r="D44" s="425" t="str">
        <f>INDEX('2.  Sales Data Key &amp; Key-Lyn'!$D$7:$D$60,MATCH('3.1 Model Assumptions &amp; Inputs'!$B44,'2.  Sales Data Key &amp; Key-Lyn'!$C$7:$C$60,0))</f>
        <v>Mature</v>
      </c>
      <c r="E44" s="425" t="str">
        <f>SUBSTITUTE(INDEX('2024 Consumer Focus'!$K$4:$K$74,MATCH('3.1 Model Assumptions &amp; Inputs'!$B44,'2024 Consumer Focus'!$I$4:$I$74,0)),"TBD","Low")</f>
        <v>High</v>
      </c>
      <c r="F44" s="425" t="str">
        <f>SUBSTITUTE(IFERROR(INDEX('Tumor Priority'!$C$6:$C$77,MATCH('3.1 Model Assumptions &amp; Inputs'!$B44,'Tumor Priority'!$B$6:$B$77,0)),"Base"),"Base","Low")</f>
        <v>Low</v>
      </c>
      <c r="G44" s="428">
        <f t="shared" si="1"/>
        <v>0.5</v>
      </c>
      <c r="H44" s="425">
        <v>0</v>
      </c>
      <c r="I44" s="429">
        <v>0.5</v>
      </c>
      <c r="J44" s="425">
        <v>0</v>
      </c>
      <c r="K44" s="425">
        <v>1</v>
      </c>
      <c r="L44" s="913">
        <f t="shared" si="2"/>
        <v>0</v>
      </c>
      <c r="M44" s="425">
        <v>0</v>
      </c>
      <c r="N44" s="425">
        <f>IF(INDEX('2024 Competitive Landscape'!$N$6:$N$76,MATCH('3.1 Model Assumptions &amp; Inputs'!$B44,'2024 Competitive Landscape'!$L$6:$L$76,0))="High",2, IF(INDEX('2024 Competitive Landscape'!$N$6:$N$76,MATCH('3.1 Model Assumptions &amp; Inputs'!$B44,'2024 Competitive Landscape'!$L$6:$L$76,0))="Medium",1,0))</f>
        <v>2</v>
      </c>
      <c r="O44" s="914">
        <f t="shared" si="3"/>
        <v>0.4</v>
      </c>
      <c r="P44" s="974">
        <f>INDEX('2024 Unique Customer Segment'!$I$5:$I$75,MATCH('3.1 Model Assumptions &amp; Inputs'!B44,'2024 Unique Customer Segment'!$H$5:$H$75,0))</f>
        <v>1</v>
      </c>
      <c r="Q44" s="922">
        <f>INDEX('2024 Unique Customer Segment'!$I$5:$I$75,MATCH('3.1 Model Assumptions &amp; Inputs'!B44,'2024 Unique Customer Segment'!$H$5:$H$75,0))/COUNTIF($C$21:$C$70,C44)</f>
        <v>0.2</v>
      </c>
      <c r="R44" s="978">
        <f t="shared" si="4"/>
        <v>3</v>
      </c>
      <c r="S44" s="916"/>
    </row>
    <row r="45" spans="1:19" x14ac:dyDescent="0.35">
      <c r="B45" s="573" t="s">
        <v>177</v>
      </c>
      <c r="C45" s="425" t="str">
        <f>INDEX('MCODE Final Mapping'!$L$6:$L$67,MATCH('3.1 Model Assumptions &amp; Inputs'!$B45,'MCODE Final Mapping'!$K$6:$K$67,0))</f>
        <v>PROMO-US-2024 KEYTRUDA SKIN CANCER</v>
      </c>
      <c r="D45" s="425" t="str">
        <f>INDEX('2.  Sales Data Key &amp; Key-Lyn'!$D$7:$D$60,MATCH('3.1 Model Assumptions &amp; Inputs'!$B45,'2.  Sales Data Key &amp; Key-Lyn'!$C$7:$C$60,0))</f>
        <v>Established</v>
      </c>
      <c r="E45" s="425" t="str">
        <f>SUBSTITUTE(INDEX('2024 Consumer Focus'!$K$4:$K$74,MATCH('3.1 Model Assumptions &amp; Inputs'!$B45,'2024 Consumer Focus'!$I$4:$I$74,0)),"TBD","Low")</f>
        <v>High</v>
      </c>
      <c r="F45" s="425" t="str">
        <f>SUBSTITUTE(IFERROR(INDEX('Tumor Priority'!$C$6:$C$77,MATCH('3.1 Model Assumptions &amp; Inputs'!$B45,'Tumor Priority'!$B$6:$B$77,0)),"Base"),"Base","Low")</f>
        <v>Medium</v>
      </c>
      <c r="G45" s="428">
        <f t="shared" si="1"/>
        <v>1</v>
      </c>
      <c r="H45" s="425">
        <v>0</v>
      </c>
      <c r="I45" s="429">
        <v>0.5</v>
      </c>
      <c r="J45" s="425">
        <v>0</v>
      </c>
      <c r="K45" s="425">
        <v>1</v>
      </c>
      <c r="L45" s="913">
        <f t="shared" si="2"/>
        <v>0</v>
      </c>
      <c r="M45" s="425">
        <v>0</v>
      </c>
      <c r="N45" s="425">
        <f>IF(INDEX('2024 Competitive Landscape'!$N$6:$N$76,MATCH('3.1 Model Assumptions &amp; Inputs'!$B45,'2024 Competitive Landscape'!$L$6:$L$76,0))="High",2, IF(INDEX('2024 Competitive Landscape'!$N$6:$N$76,MATCH('3.1 Model Assumptions &amp; Inputs'!$B45,'2024 Competitive Landscape'!$L$6:$L$76,0))="Medium",1,0))</f>
        <v>2</v>
      </c>
      <c r="O45" s="914">
        <f t="shared" si="3"/>
        <v>0.4</v>
      </c>
      <c r="P45" s="974">
        <f>INDEX('2024 Unique Customer Segment'!$I$5:$I$75,MATCH('3.1 Model Assumptions &amp; Inputs'!B45,'2024 Unique Customer Segment'!$H$5:$H$75,0))</f>
        <v>1</v>
      </c>
      <c r="Q45" s="922">
        <f>INDEX('2024 Unique Customer Segment'!$I$5:$I$75,MATCH('3.1 Model Assumptions &amp; Inputs'!B45,'2024 Unique Customer Segment'!$H$5:$H$75,0))/COUNTIF($C$21:$C$70,C45)</f>
        <v>0.2</v>
      </c>
      <c r="R45" s="978">
        <f t="shared" si="4"/>
        <v>3</v>
      </c>
      <c r="S45" s="916"/>
    </row>
    <row r="46" spans="1:19" x14ac:dyDescent="0.35">
      <c r="B46" s="573" t="s">
        <v>181</v>
      </c>
      <c r="C46" s="425" t="str">
        <f>INDEX('MCODE Final Mapping'!$L$6:$L$67,MATCH('3.1 Model Assumptions &amp; Inputs'!$B46,'MCODE Final Mapping'!$K$6:$K$67,0))</f>
        <v>PROMO-US-2024 KEYTRUDA SKIN CANCER</v>
      </c>
      <c r="D46" s="425" t="str">
        <f>INDEX('2.  Sales Data Key &amp; Key-Lyn'!$D$7:$D$60,MATCH('3.1 Model Assumptions &amp; Inputs'!$B46,'2.  Sales Data Key &amp; Key-Lyn'!$C$7:$C$60,0))</f>
        <v>Later Life</v>
      </c>
      <c r="E46" s="425" t="str">
        <f>SUBSTITUTE(INDEX('2024 Consumer Focus'!$K$4:$K$74,MATCH('3.1 Model Assumptions &amp; Inputs'!$B46,'2024 Consumer Focus'!$I$4:$I$74,0)),"TBD","Low")</f>
        <v>High</v>
      </c>
      <c r="F46" s="425" t="str">
        <f>SUBSTITUTE(IFERROR(INDEX('Tumor Priority'!$C$6:$C$77,MATCH('3.1 Model Assumptions &amp; Inputs'!$B46,'Tumor Priority'!$B$6:$B$77,0)),"Base"),"Base","Low")</f>
        <v>Low</v>
      </c>
      <c r="G46" s="428">
        <f t="shared" si="1"/>
        <v>0.5</v>
      </c>
      <c r="H46" s="425">
        <v>0</v>
      </c>
      <c r="I46" s="429">
        <v>0.5</v>
      </c>
      <c r="J46" s="425">
        <v>0</v>
      </c>
      <c r="K46" s="425">
        <v>1</v>
      </c>
      <c r="L46" s="913">
        <f t="shared" si="2"/>
        <v>0</v>
      </c>
      <c r="M46" s="425">
        <v>0</v>
      </c>
      <c r="N46" s="425">
        <f>IF(INDEX('2024 Competitive Landscape'!$N$6:$N$76,MATCH('3.1 Model Assumptions &amp; Inputs'!$B46,'2024 Competitive Landscape'!$L$6:$L$76,0))="High",2, IF(INDEX('2024 Competitive Landscape'!$N$6:$N$76,MATCH('3.1 Model Assumptions &amp; Inputs'!$B46,'2024 Competitive Landscape'!$L$6:$L$76,0))="Medium",1,0))</f>
        <v>2</v>
      </c>
      <c r="O46" s="914">
        <f t="shared" si="3"/>
        <v>0.4</v>
      </c>
      <c r="P46" s="974">
        <f>INDEX('2024 Unique Customer Segment'!$I$5:$I$75,MATCH('3.1 Model Assumptions &amp; Inputs'!B46,'2024 Unique Customer Segment'!$H$5:$H$75,0))</f>
        <v>0</v>
      </c>
      <c r="Q46" s="922">
        <f>INDEX('2024 Unique Customer Segment'!$I$5:$I$75,MATCH('3.1 Model Assumptions &amp; Inputs'!B46,'2024 Unique Customer Segment'!$H$5:$H$75,0))/COUNTIF($C$21:$C$70,C46)</f>
        <v>0</v>
      </c>
      <c r="R46" s="978">
        <f t="shared" si="4"/>
        <v>2</v>
      </c>
      <c r="S46" s="916"/>
    </row>
    <row r="47" spans="1:19" x14ac:dyDescent="0.35">
      <c r="B47" s="573" t="s">
        <v>184</v>
      </c>
      <c r="C47" s="425" t="str">
        <f>INDEX('MCODE Final Mapping'!$L$6:$L$67,MATCH('3.1 Model Assumptions &amp; Inputs'!$B47,'MCODE Final Mapping'!$K$6:$K$67,0))</f>
        <v>PROMO-US-2024 KEYTRUDA SKIN CANCER</v>
      </c>
      <c r="D47" s="425" t="str">
        <f>INDEX('2.  Sales Data Key &amp; Key-Lyn'!$D$7:$D$60,MATCH('3.1 Model Assumptions &amp; Inputs'!$B47,'2.  Sales Data Key &amp; Key-Lyn'!$C$7:$C$60,0))</f>
        <v>Later Life</v>
      </c>
      <c r="E47" s="425" t="str">
        <f>SUBSTITUTE(INDEX('2024 Consumer Focus'!$K$4:$K$74,MATCH('3.1 Model Assumptions &amp; Inputs'!$B47,'2024 Consumer Focus'!$I$4:$I$74,0)),"TBD","Low")</f>
        <v>High</v>
      </c>
      <c r="F47" s="425" t="str">
        <f>SUBSTITUTE(IFERROR(INDEX('Tumor Priority'!$C$6:$C$77,MATCH('3.1 Model Assumptions &amp; Inputs'!$B47,'Tumor Priority'!$B$6:$B$77,0)),"Base"),"Base","Low")</f>
        <v>Low</v>
      </c>
      <c r="G47" s="428">
        <f t="shared" si="1"/>
        <v>0.5</v>
      </c>
      <c r="H47" s="425">
        <v>0</v>
      </c>
      <c r="I47" s="429">
        <v>0.5</v>
      </c>
      <c r="J47" s="425">
        <v>0</v>
      </c>
      <c r="K47" s="425">
        <v>1</v>
      </c>
      <c r="L47" s="913">
        <f t="shared" si="2"/>
        <v>0</v>
      </c>
      <c r="M47" s="425">
        <v>0</v>
      </c>
      <c r="N47" s="425">
        <f>IF(INDEX('2024 Competitive Landscape'!$N$6:$N$76,MATCH('3.1 Model Assumptions &amp; Inputs'!$B47,'2024 Competitive Landscape'!$L$6:$L$76,0))="High",2, IF(INDEX('2024 Competitive Landscape'!$N$6:$N$76,MATCH('3.1 Model Assumptions &amp; Inputs'!$B47,'2024 Competitive Landscape'!$L$6:$L$76,0))="Medium",1,0))</f>
        <v>2</v>
      </c>
      <c r="O47" s="914">
        <f t="shared" si="3"/>
        <v>0.4</v>
      </c>
      <c r="P47" s="974">
        <f>INDEX('2024 Unique Customer Segment'!$I$5:$I$75,MATCH('3.1 Model Assumptions &amp; Inputs'!B47,'2024 Unique Customer Segment'!$H$5:$H$75,0))</f>
        <v>0</v>
      </c>
      <c r="Q47" s="922">
        <f>INDEX('2024 Unique Customer Segment'!$I$5:$I$75,MATCH('3.1 Model Assumptions &amp; Inputs'!B47,'2024 Unique Customer Segment'!$H$5:$H$75,0))/COUNTIF($C$21:$C$70,C47)</f>
        <v>0</v>
      </c>
      <c r="R47" s="978">
        <f t="shared" si="4"/>
        <v>2</v>
      </c>
      <c r="S47" s="916"/>
    </row>
    <row r="48" spans="1:19" x14ac:dyDescent="0.35">
      <c r="B48" s="573" t="s">
        <v>188</v>
      </c>
      <c r="C48" s="425" t="str">
        <f>INDEX('MCODE Final Mapping'!$L$6:$L$67,MATCH('3.1 Model Assumptions &amp; Inputs'!$B48,'MCODE Final Mapping'!$K$6:$K$67,0))</f>
        <v>PROMO-US-2024 KEYTRUDA SKIN CANCER</v>
      </c>
      <c r="D48" s="425" t="str">
        <f>INDEX('2.  Sales Data Key &amp; Key-Lyn'!$D$7:$D$60,MATCH('3.1 Model Assumptions &amp; Inputs'!$B48,'2.  Sales Data Key &amp; Key-Lyn'!$C$7:$C$60,0))</f>
        <v>Mature</v>
      </c>
      <c r="E48" s="425" t="str">
        <f>SUBSTITUTE(INDEX('2024 Consumer Focus'!$K$4:$K$74,MATCH('3.1 Model Assumptions &amp; Inputs'!$B48,'2024 Consumer Focus'!$I$4:$I$74,0)),"TBD","Low")</f>
        <v>High</v>
      </c>
      <c r="F48" s="425" t="str">
        <f>SUBSTITUTE(IFERROR(INDEX('Tumor Priority'!$C$6:$C$77,MATCH('3.1 Model Assumptions &amp; Inputs'!$B48,'Tumor Priority'!$B$6:$B$77,0)),"Base"),"Base","Low")</f>
        <v>Low</v>
      </c>
      <c r="G48" s="428">
        <f t="shared" si="1"/>
        <v>0.5</v>
      </c>
      <c r="H48" s="425">
        <v>0</v>
      </c>
      <c r="I48" s="429">
        <v>0.5</v>
      </c>
      <c r="J48" s="425">
        <v>0</v>
      </c>
      <c r="K48" s="425">
        <v>1</v>
      </c>
      <c r="L48" s="913">
        <f t="shared" si="2"/>
        <v>0</v>
      </c>
      <c r="M48" s="425">
        <v>0</v>
      </c>
      <c r="N48" s="425">
        <f>IF(INDEX('2024 Competitive Landscape'!$N$6:$N$76,MATCH('3.1 Model Assumptions &amp; Inputs'!$B48,'2024 Competitive Landscape'!$L$6:$L$76,0))="High",2, IF(INDEX('2024 Competitive Landscape'!$N$6:$N$76,MATCH('3.1 Model Assumptions &amp; Inputs'!$B48,'2024 Competitive Landscape'!$L$6:$L$76,0))="Medium",1,0))</f>
        <v>2</v>
      </c>
      <c r="O48" s="914">
        <f t="shared" si="3"/>
        <v>0.4</v>
      </c>
      <c r="P48" s="974">
        <f>INDEX('2024 Unique Customer Segment'!$I$5:$I$75,MATCH('3.1 Model Assumptions &amp; Inputs'!B48,'2024 Unique Customer Segment'!$H$5:$H$75,0))</f>
        <v>0</v>
      </c>
      <c r="Q48" s="922">
        <f>INDEX('2024 Unique Customer Segment'!$I$5:$I$75,MATCH('3.1 Model Assumptions &amp; Inputs'!B48,'2024 Unique Customer Segment'!$H$5:$H$75,0))/COUNTIF($C$21:$C$70,C48)</f>
        <v>0</v>
      </c>
      <c r="R48" s="978">
        <f t="shared" si="4"/>
        <v>2</v>
      </c>
      <c r="S48" s="916"/>
    </row>
    <row r="49" spans="1:19" x14ac:dyDescent="0.35">
      <c r="B49" s="573" t="s">
        <v>192</v>
      </c>
      <c r="C49" s="425" t="str">
        <f>INDEX('MCODE Final Mapping'!$L$6:$L$67,MATCH('3.1 Model Assumptions &amp; Inputs'!$B49,'MCODE Final Mapping'!$K$6:$K$67,0))</f>
        <v>PROMO-US-2024 KEYTRUDA LUNG</v>
      </c>
      <c r="D49" s="425" t="str">
        <f>INDEX('2.  Sales Data Key &amp; Key-Lyn'!$D$7:$D$60,MATCH('3.1 Model Assumptions &amp; Inputs'!$B49,'2.  Sales Data Key &amp; Key-Lyn'!$C$7:$C$60,0))</f>
        <v>Planning Year</v>
      </c>
      <c r="E49" s="425" t="str">
        <f>SUBSTITUTE(INDEX('2024 Consumer Focus'!$K$4:$K$74,MATCH('3.1 Model Assumptions &amp; Inputs'!$B49,'2024 Consumer Focus'!$I$4:$I$74,0)),"TBD","Low")</f>
        <v>High</v>
      </c>
      <c r="F49" s="425" t="str">
        <f>SUBSTITUTE(IFERROR(INDEX('Tumor Priority'!$C$6:$C$77,MATCH('3.1 Model Assumptions &amp; Inputs'!$B49,'Tumor Priority'!$B$6:$B$77,0)),"Base"),"Base","Low")</f>
        <v>Low</v>
      </c>
      <c r="G49" s="428">
        <f t="shared" si="1"/>
        <v>0.5</v>
      </c>
      <c r="H49" s="425">
        <v>0</v>
      </c>
      <c r="I49" s="429">
        <v>0.5</v>
      </c>
      <c r="J49" s="425">
        <v>1</v>
      </c>
      <c r="K49" s="425">
        <v>1</v>
      </c>
      <c r="L49" s="913">
        <f t="shared" si="2"/>
        <v>0.5</v>
      </c>
      <c r="M49" s="425">
        <v>0</v>
      </c>
      <c r="N49" s="425">
        <f>IF(INDEX('2024 Competitive Landscape'!$N$6:$N$76,MATCH('3.1 Model Assumptions &amp; Inputs'!$B49,'2024 Competitive Landscape'!$L$6:$L$76,0))="High",2, IF(INDEX('2024 Competitive Landscape'!$N$6:$N$76,MATCH('3.1 Model Assumptions &amp; Inputs'!$B49,'2024 Competitive Landscape'!$L$6:$L$76,0))="Medium",1,0))</f>
        <v>0</v>
      </c>
      <c r="O49" s="914">
        <f t="shared" si="3"/>
        <v>0</v>
      </c>
      <c r="P49" s="974">
        <f>INDEX('2024 Unique Customer Segment'!$I$5:$I$75,MATCH('3.1 Model Assumptions &amp; Inputs'!B49,'2024 Unique Customer Segment'!$H$5:$H$75,0))</f>
        <v>0</v>
      </c>
      <c r="Q49" s="922">
        <f>INDEX('2024 Unique Customer Segment'!$I$5:$I$75,MATCH('3.1 Model Assumptions &amp; Inputs'!B49,'2024 Unique Customer Segment'!$H$5:$H$75,0))/COUNTIF($C$21:$C$70,C49)</f>
        <v>0</v>
      </c>
      <c r="R49" s="978">
        <f t="shared" si="4"/>
        <v>0</v>
      </c>
      <c r="S49" s="916"/>
    </row>
    <row r="50" spans="1:19" x14ac:dyDescent="0.35">
      <c r="B50" s="573" t="s">
        <v>197</v>
      </c>
      <c r="C50" s="425" t="str">
        <f>INDEX('MCODE Final Mapping'!$L$6:$L$67,MATCH('3.1 Model Assumptions &amp; Inputs'!$B50,'MCODE Final Mapping'!$K$6:$K$67,0))</f>
        <v>PROMO-US-2024 KEYTRUDA BLAD - mUC</v>
      </c>
      <c r="D50" s="425" t="str">
        <f>INDEX('2.  Sales Data Key &amp; Key-Lyn'!$D$7:$D$60,MATCH('3.1 Model Assumptions &amp; Inputs'!$B50,'2.  Sales Data Key &amp; Key-Lyn'!$C$7:$C$60,0))</f>
        <v>Planning Year</v>
      </c>
      <c r="E50" s="425" t="str">
        <f>SUBSTITUTE(INDEX('2024 Consumer Focus'!$K$4:$K$74,MATCH('3.1 Model Assumptions &amp; Inputs'!$B50,'2024 Consumer Focus'!$I$4:$I$74,0)),"TBD","Low")</f>
        <v>Medium</v>
      </c>
      <c r="F50" s="425" t="str">
        <f>SUBSTITUTE(IFERROR(INDEX('Tumor Priority'!$C$6:$C$77,MATCH('3.1 Model Assumptions &amp; Inputs'!$B50,'Tumor Priority'!$B$6:$B$77,0)),"Base"),"Base","Low")</f>
        <v>High</v>
      </c>
      <c r="G50" s="428">
        <f t="shared" si="1"/>
        <v>1.5</v>
      </c>
      <c r="H50" s="425">
        <v>1</v>
      </c>
      <c r="I50" s="429">
        <v>0.5</v>
      </c>
      <c r="J50" s="425">
        <v>0</v>
      </c>
      <c r="K50" s="425">
        <v>1</v>
      </c>
      <c r="L50" s="913">
        <f t="shared" si="2"/>
        <v>0.75</v>
      </c>
      <c r="M50" s="425">
        <v>0</v>
      </c>
      <c r="N50" s="425">
        <f>IF(INDEX('2024 Competitive Landscape'!$N$6:$N$76,MATCH('3.1 Model Assumptions &amp; Inputs'!$B50,'2024 Competitive Landscape'!$L$6:$L$76,0))="High",2, IF(INDEX('2024 Competitive Landscape'!$N$6:$N$76,MATCH('3.1 Model Assumptions &amp; Inputs'!$B50,'2024 Competitive Landscape'!$L$6:$L$76,0))="Medium",1,0))</f>
        <v>1</v>
      </c>
      <c r="O50" s="914">
        <f t="shared" si="3"/>
        <v>0.33333333333333331</v>
      </c>
      <c r="P50" s="974">
        <f>INDEX('2024 Unique Customer Segment'!$I$5:$I$75,MATCH('3.1 Model Assumptions &amp; Inputs'!B50,'2024 Unique Customer Segment'!$H$5:$H$75,0))</f>
        <v>0</v>
      </c>
      <c r="Q50" s="922">
        <f>INDEX('2024 Unique Customer Segment'!$I$5:$I$75,MATCH('3.1 Model Assumptions &amp; Inputs'!B50,'2024 Unique Customer Segment'!$H$5:$H$75,0))/COUNTIF($C$21:$C$70,C50)</f>
        <v>0</v>
      </c>
      <c r="R50" s="978">
        <f t="shared" si="4"/>
        <v>1</v>
      </c>
      <c r="S50" s="916"/>
    </row>
    <row r="51" spans="1:19" x14ac:dyDescent="0.35">
      <c r="B51" s="573" t="s">
        <v>200</v>
      </c>
      <c r="C51" s="425" t="str">
        <f>INDEX('MCODE Final Mapping'!$L$6:$L$67,MATCH('3.1 Model Assumptions &amp; Inputs'!$B51,'MCODE Final Mapping'!$K$6:$K$67,0))</f>
        <v>PROMO-US-2024 KEYTRUDA BLAD - mUC</v>
      </c>
      <c r="D51" s="425" t="str">
        <f>INDEX('2.  Sales Data Key &amp; Key-Lyn'!$D$7:$D$60,MATCH('3.1 Model Assumptions &amp; Inputs'!$B51,'2.  Sales Data Key &amp; Key-Lyn'!$C$7:$C$60,0))</f>
        <v>Recent Launch</v>
      </c>
      <c r="E51" s="425" t="str">
        <f>SUBSTITUTE(INDEX('2024 Consumer Focus'!$K$4:$K$74,MATCH('3.1 Model Assumptions &amp; Inputs'!$B51,'2024 Consumer Focus'!$I$4:$I$74,0)),"TBD","Low")</f>
        <v>Medium</v>
      </c>
      <c r="F51" s="425" t="str">
        <f>SUBSTITUTE(IFERROR(INDEX('Tumor Priority'!$C$6:$C$77,MATCH('3.1 Model Assumptions &amp; Inputs'!$B51,'Tumor Priority'!$B$6:$B$77,0)),"Base"),"Base","Low")</f>
        <v>High</v>
      </c>
      <c r="G51" s="428">
        <f t="shared" si="1"/>
        <v>1.5</v>
      </c>
      <c r="H51" s="425">
        <v>0</v>
      </c>
      <c r="I51" s="429">
        <v>0.5</v>
      </c>
      <c r="J51" s="425">
        <v>0</v>
      </c>
      <c r="K51" s="425">
        <v>1</v>
      </c>
      <c r="L51" s="913">
        <f t="shared" si="2"/>
        <v>0</v>
      </c>
      <c r="M51" s="425">
        <v>0</v>
      </c>
      <c r="N51" s="425">
        <f>IF(INDEX('2024 Competitive Landscape'!$N$6:$N$76,MATCH('3.1 Model Assumptions &amp; Inputs'!$B51,'2024 Competitive Landscape'!$L$6:$L$76,0))="High",2, IF(INDEX('2024 Competitive Landscape'!$N$6:$N$76,MATCH('3.1 Model Assumptions &amp; Inputs'!$B51,'2024 Competitive Landscape'!$L$6:$L$76,0))="Medium",1,0))</f>
        <v>1</v>
      </c>
      <c r="O51" s="914">
        <f t="shared" si="3"/>
        <v>0.33333333333333331</v>
      </c>
      <c r="P51" s="974">
        <f>INDEX('2024 Unique Customer Segment'!$I$5:$I$75,MATCH('3.1 Model Assumptions &amp; Inputs'!B51,'2024 Unique Customer Segment'!$H$5:$H$75,0))</f>
        <v>0</v>
      </c>
      <c r="Q51" s="922">
        <f>INDEX('2024 Unique Customer Segment'!$I$5:$I$75,MATCH('3.1 Model Assumptions &amp; Inputs'!B51,'2024 Unique Customer Segment'!$H$5:$H$75,0))/COUNTIF($C$21:$C$70,C51)</f>
        <v>0</v>
      </c>
      <c r="R51" s="978">
        <f t="shared" si="4"/>
        <v>1</v>
      </c>
      <c r="S51" s="916"/>
    </row>
    <row r="52" spans="1:19" x14ac:dyDescent="0.35">
      <c r="B52" s="573" t="s">
        <v>348</v>
      </c>
      <c r="C52" s="425" t="str">
        <f>INDEX('MCODE Final Mapping'!$L$6:$L$67,MATCH('3.1 Model Assumptions &amp; Inputs'!$B52,'MCODE Final Mapping'!$K$6:$K$67,0))</f>
        <v>PROMO-US-2024 KEYTRUDA BLAD - MIBC</v>
      </c>
      <c r="D52" s="425" t="str">
        <f>INDEX('2.  Sales Data Key &amp; Key-Lyn'!$D$7:$D$60,MATCH('3.1 Model Assumptions &amp; Inputs'!$B52,'2.  Sales Data Key &amp; Key-Lyn'!$C$7:$C$60,0))</f>
        <v>Planning Year</v>
      </c>
      <c r="E52" s="425" t="str">
        <f>SUBSTITUTE(INDEX('2024 Consumer Focus'!$K$4:$K$74,MATCH('3.1 Model Assumptions &amp; Inputs'!$B52,'2024 Consumer Focus'!$I$4:$I$74,0)),"TBD","Low")</f>
        <v>Medium</v>
      </c>
      <c r="F52" s="425" t="str">
        <f>SUBSTITUTE(IFERROR(INDEX('Tumor Priority'!$C$6:$C$77,MATCH('3.1 Model Assumptions &amp; Inputs'!$B52,'Tumor Priority'!$B$6:$B$77,0)),"Base"),"Base","Low")</f>
        <v>Medium</v>
      </c>
      <c r="G52" s="428">
        <f t="shared" si="1"/>
        <v>1</v>
      </c>
      <c r="H52" s="425">
        <v>1</v>
      </c>
      <c r="I52" s="429">
        <v>0.5</v>
      </c>
      <c r="J52" s="425">
        <v>0</v>
      </c>
      <c r="K52" s="425">
        <v>1</v>
      </c>
      <c r="L52" s="913">
        <f t="shared" si="2"/>
        <v>0.5</v>
      </c>
      <c r="M52" s="425">
        <v>0</v>
      </c>
      <c r="N52" s="425">
        <f>IF(INDEX('2024 Competitive Landscape'!$N$6:$N$76,MATCH('3.1 Model Assumptions &amp; Inputs'!$B52,'2024 Competitive Landscape'!$L$6:$L$76,0))="High",2, IF(INDEX('2024 Competitive Landscape'!$N$6:$N$76,MATCH('3.1 Model Assumptions &amp; Inputs'!$B52,'2024 Competitive Landscape'!$L$6:$L$76,0))="Medium",1,0))</f>
        <v>2</v>
      </c>
      <c r="O52" s="914">
        <f t="shared" si="3"/>
        <v>0.66666666666666663</v>
      </c>
      <c r="P52" s="974">
        <f>INDEX('2024 Unique Customer Segment'!$I$5:$I$75,MATCH('3.1 Model Assumptions &amp; Inputs'!B52,'2024 Unique Customer Segment'!$H$5:$H$75,0))</f>
        <v>1</v>
      </c>
      <c r="Q52" s="922">
        <f>INDEX('2024 Unique Customer Segment'!$I$5:$I$75,MATCH('3.1 Model Assumptions &amp; Inputs'!B52,'2024 Unique Customer Segment'!$H$5:$H$75,0))/COUNTIF($C$21:$C$70,C52)</f>
        <v>0.33333333333333331</v>
      </c>
      <c r="R52" s="978">
        <f t="shared" si="4"/>
        <v>3</v>
      </c>
      <c r="S52" s="916"/>
    </row>
    <row r="53" spans="1:19" x14ac:dyDescent="0.35">
      <c r="B53" s="573" t="s">
        <v>349</v>
      </c>
      <c r="C53" s="425" t="str">
        <f>INDEX('MCODE Final Mapping'!$L$6:$L$67,MATCH('3.1 Model Assumptions &amp; Inputs'!$B53,'MCODE Final Mapping'!$K$6:$K$67,0))</f>
        <v>PROMO-US-2024 KEYTRUDA BLAD - MIBC</v>
      </c>
      <c r="D53" s="425" t="str">
        <f>INDEX('2.  Sales Data Key &amp; Key-Lyn'!$D$7:$D$60,MATCH('3.1 Model Assumptions &amp; Inputs'!$B53,'2.  Sales Data Key &amp; Key-Lyn'!$C$7:$C$60,0))</f>
        <v>Future Launch</v>
      </c>
      <c r="E53" s="425" t="str">
        <f>SUBSTITUTE(INDEX('2024 Consumer Focus'!$K$4:$K$74,MATCH('3.1 Model Assumptions &amp; Inputs'!$B53,'2024 Consumer Focus'!$I$4:$I$74,0)),"TBD","Low")</f>
        <v>Medium</v>
      </c>
      <c r="F53" s="425" t="str">
        <f>SUBSTITUTE(IFERROR(INDEX('Tumor Priority'!$C$6:$C$77,MATCH('3.1 Model Assumptions &amp; Inputs'!$B53,'Tumor Priority'!$B$6:$B$77,0)),"Base"),"Base","Low")</f>
        <v>Low</v>
      </c>
      <c r="G53" s="428">
        <f t="shared" si="1"/>
        <v>0.5</v>
      </c>
      <c r="H53" s="425">
        <v>0</v>
      </c>
      <c r="I53" s="429">
        <v>0.5</v>
      </c>
      <c r="J53" s="425">
        <v>0</v>
      </c>
      <c r="K53" s="425">
        <v>1</v>
      </c>
      <c r="L53" s="913">
        <f t="shared" si="2"/>
        <v>0</v>
      </c>
      <c r="M53" s="425">
        <v>0</v>
      </c>
      <c r="N53" s="425">
        <f>IF(INDEX('2024 Competitive Landscape'!$N$6:$N$76,MATCH('3.1 Model Assumptions &amp; Inputs'!$B53,'2024 Competitive Landscape'!$L$6:$L$76,0))="High",2, IF(INDEX('2024 Competitive Landscape'!$N$6:$N$76,MATCH('3.1 Model Assumptions &amp; Inputs'!$B53,'2024 Competitive Landscape'!$L$6:$L$76,0))="Medium",1,0))</f>
        <v>2</v>
      </c>
      <c r="O53" s="914">
        <f t="shared" si="3"/>
        <v>0.66666666666666663</v>
      </c>
      <c r="P53" s="974">
        <f>INDEX('2024 Unique Customer Segment'!$I$5:$I$75,MATCH('3.1 Model Assumptions &amp; Inputs'!B53,'2024 Unique Customer Segment'!$H$5:$H$75,0))</f>
        <v>1</v>
      </c>
      <c r="Q53" s="922">
        <f>INDEX('2024 Unique Customer Segment'!$I$5:$I$75,MATCH('3.1 Model Assumptions &amp; Inputs'!B53,'2024 Unique Customer Segment'!$H$5:$H$75,0))/COUNTIF($C$21:$C$70,C53)</f>
        <v>0.33333333333333331</v>
      </c>
      <c r="R53" s="978">
        <f t="shared" si="4"/>
        <v>3</v>
      </c>
      <c r="S53" s="916"/>
    </row>
    <row r="54" spans="1:19" x14ac:dyDescent="0.35">
      <c r="B54" s="573" t="s">
        <v>350</v>
      </c>
      <c r="C54" s="425" t="str">
        <f>INDEX('MCODE Final Mapping'!$L$6:$L$67,MATCH('3.1 Model Assumptions &amp; Inputs'!$B54,'MCODE Final Mapping'!$K$6:$K$67,0))</f>
        <v>PROMO-US-2024 KEYTRUDA BLAD - MIBC</v>
      </c>
      <c r="D54" s="425" t="str">
        <f>INDEX('2.  Sales Data Key &amp; Key-Lyn'!$D$7:$D$60,MATCH('3.1 Model Assumptions &amp; Inputs'!$B54,'2.  Sales Data Key &amp; Key-Lyn'!$C$7:$C$60,0))</f>
        <v>Future Launch</v>
      </c>
      <c r="E54" s="425" t="str">
        <f>SUBSTITUTE(INDEX('2024 Consumer Focus'!$K$4:$K$74,MATCH('3.1 Model Assumptions &amp; Inputs'!$B54,'2024 Consumer Focus'!$I$4:$I$74,0)),"TBD","Low")</f>
        <v>Medium</v>
      </c>
      <c r="F54" s="425" t="str">
        <f>SUBSTITUTE(IFERROR(INDEX('Tumor Priority'!$C$6:$C$77,MATCH('3.1 Model Assumptions &amp; Inputs'!$B54,'Tumor Priority'!$B$6:$B$77,0)),"Base"),"Base","Low")</f>
        <v>Low</v>
      </c>
      <c r="G54" s="428">
        <f t="shared" si="1"/>
        <v>0.5</v>
      </c>
      <c r="H54" s="425">
        <v>0</v>
      </c>
      <c r="I54" s="429">
        <v>0.5</v>
      </c>
      <c r="J54" s="425">
        <v>0</v>
      </c>
      <c r="K54" s="425">
        <v>1</v>
      </c>
      <c r="L54" s="913">
        <f t="shared" si="2"/>
        <v>0</v>
      </c>
      <c r="M54" s="425">
        <v>0</v>
      </c>
      <c r="N54" s="425">
        <f>IF(INDEX('2024 Competitive Landscape'!$N$6:$N$76,MATCH('3.1 Model Assumptions &amp; Inputs'!$B54,'2024 Competitive Landscape'!$L$6:$L$76,0))="High",2, IF(INDEX('2024 Competitive Landscape'!$N$6:$N$76,MATCH('3.1 Model Assumptions &amp; Inputs'!$B54,'2024 Competitive Landscape'!$L$6:$L$76,0))="Medium",1,0))</f>
        <v>2</v>
      </c>
      <c r="O54" s="914">
        <f t="shared" si="3"/>
        <v>0.66666666666666663</v>
      </c>
      <c r="P54" s="974">
        <f>INDEX('2024 Unique Customer Segment'!$I$5:$I$75,MATCH('3.1 Model Assumptions &amp; Inputs'!B54,'2024 Unique Customer Segment'!$H$5:$H$75,0))</f>
        <v>1</v>
      </c>
      <c r="Q54" s="922">
        <f>INDEX('2024 Unique Customer Segment'!$I$5:$I$75,MATCH('3.1 Model Assumptions &amp; Inputs'!B54,'2024 Unique Customer Segment'!$H$5:$H$75,0))/COUNTIF($C$21:$C$70,C54)</f>
        <v>0.33333333333333331</v>
      </c>
      <c r="R54" s="978">
        <f t="shared" si="4"/>
        <v>3</v>
      </c>
      <c r="S54" s="916"/>
    </row>
    <row r="55" spans="1:19" x14ac:dyDescent="0.35">
      <c r="B55" s="573" t="s">
        <v>216</v>
      </c>
      <c r="C55" s="425" t="str">
        <f>INDEX('MCODE Final Mapping'!$L$6:$L$67,MATCH('3.1 Model Assumptions &amp; Inputs'!$B55,'MCODE Final Mapping'!$K$6:$K$67,0))</f>
        <v>PROMO-US-2024 KEYTRUDA GI</v>
      </c>
      <c r="D55" s="425" t="str">
        <f>INDEX('2.  Sales Data Key &amp; Key-Lyn'!$D$7:$D$60,MATCH('3.1 Model Assumptions &amp; Inputs'!$B55,'2.  Sales Data Key &amp; Key-Lyn'!$C$7:$C$60,0))</f>
        <v>Later Life</v>
      </c>
      <c r="E55" s="425" t="str">
        <f>SUBSTITUTE(INDEX('2024 Consumer Focus'!$K$4:$K$74,MATCH('3.1 Model Assumptions &amp; Inputs'!$B55,'2024 Consumer Focus'!$I$4:$I$74,0)),"TBD","Low")</f>
        <v>Medium</v>
      </c>
      <c r="F55" s="425" t="str">
        <f>SUBSTITUTE(IFERROR(INDEX('Tumor Priority'!$C$6:$C$77,MATCH('3.1 Model Assumptions &amp; Inputs'!$B55,'Tumor Priority'!$B$6:$B$77,0)),"Base"),"Base","Low")</f>
        <v>Low</v>
      </c>
      <c r="G55" s="428">
        <f t="shared" si="1"/>
        <v>0.5</v>
      </c>
      <c r="H55" s="425">
        <v>0</v>
      </c>
      <c r="I55" s="429">
        <v>0.5</v>
      </c>
      <c r="J55" s="425">
        <v>0</v>
      </c>
      <c r="K55" s="425">
        <v>1</v>
      </c>
      <c r="L55" s="913">
        <f t="shared" si="2"/>
        <v>0</v>
      </c>
      <c r="M55" s="425">
        <v>0</v>
      </c>
      <c r="N55" s="425">
        <f>IF(INDEX('2024 Competitive Landscape'!$N$6:$N$76,MATCH('3.1 Model Assumptions &amp; Inputs'!$B55,'2024 Competitive Landscape'!$L$6:$L$76,0))="High",2, IF(INDEX('2024 Competitive Landscape'!$N$6:$N$76,MATCH('3.1 Model Assumptions &amp; Inputs'!$B55,'2024 Competitive Landscape'!$L$6:$L$76,0))="Medium",1,0))</f>
        <v>1</v>
      </c>
      <c r="O55" s="914">
        <f t="shared" si="3"/>
        <v>9.0909090909090912E-2</v>
      </c>
      <c r="P55" s="974">
        <f>INDEX('2024 Unique Customer Segment'!$I$5:$I$75,MATCH('3.1 Model Assumptions &amp; Inputs'!B55,'2024 Unique Customer Segment'!$H$5:$H$75,0))</f>
        <v>0</v>
      </c>
      <c r="Q55" s="922">
        <f>INDEX('2024 Unique Customer Segment'!$I$5:$I$75,MATCH('3.1 Model Assumptions &amp; Inputs'!B55,'2024 Unique Customer Segment'!$H$5:$H$75,0))/COUNTIF($C$21:$C$70,C55)</f>
        <v>0</v>
      </c>
      <c r="R55" s="978">
        <f t="shared" si="4"/>
        <v>1</v>
      </c>
      <c r="S55" s="916"/>
    </row>
    <row r="56" spans="1:19" x14ac:dyDescent="0.35">
      <c r="B56" s="573" t="s">
        <v>222</v>
      </c>
      <c r="C56" s="425" t="str">
        <f>INDEX('MCODE Final Mapping'!$L$6:$L$67,MATCH('3.1 Model Assumptions &amp; Inputs'!$B56,'MCODE Final Mapping'!$K$6:$K$67,0))</f>
        <v>PROMO-US-2024 KEYTRUDA BLAD -NMIBC</v>
      </c>
      <c r="D56" s="425" t="str">
        <f>INDEX('2.  Sales Data Key &amp; Key-Lyn'!$D$7:$D$60,MATCH('3.1 Model Assumptions &amp; Inputs'!$B56,'2.  Sales Data Key &amp; Key-Lyn'!$C$7:$C$60,0))</f>
        <v>Future Launch</v>
      </c>
      <c r="E56" s="425" t="str">
        <f>SUBSTITUTE(INDEX('2024 Consumer Focus'!$K$4:$K$74,MATCH('3.1 Model Assumptions &amp; Inputs'!$B56,'2024 Consumer Focus'!$I$4:$I$74,0)),"TBD","Low")</f>
        <v>Medium</v>
      </c>
      <c r="F56" s="425" t="str">
        <f>SUBSTITUTE(IFERROR(INDEX('Tumor Priority'!$C$6:$C$77,MATCH('3.1 Model Assumptions &amp; Inputs'!$B56,'Tumor Priority'!$B$6:$B$77,0)),"Base"),"Base","Low")</f>
        <v>Low</v>
      </c>
      <c r="G56" s="428">
        <f t="shared" si="1"/>
        <v>0.5</v>
      </c>
      <c r="H56" s="425">
        <v>0</v>
      </c>
      <c r="I56" s="429">
        <v>0.5</v>
      </c>
      <c r="J56" s="425">
        <v>0</v>
      </c>
      <c r="K56" s="425">
        <v>1</v>
      </c>
      <c r="L56" s="913">
        <f t="shared" si="2"/>
        <v>0</v>
      </c>
      <c r="M56" s="425">
        <v>0</v>
      </c>
      <c r="N56" s="425">
        <f>IF(INDEX('2024 Competitive Landscape'!$N$6:$N$76,MATCH('3.1 Model Assumptions &amp; Inputs'!$B56,'2024 Competitive Landscape'!$L$6:$L$76,0))="High",2, IF(INDEX('2024 Competitive Landscape'!$N$6:$N$76,MATCH('3.1 Model Assumptions &amp; Inputs'!$B56,'2024 Competitive Landscape'!$L$6:$L$76,0))="Medium",1,0))</f>
        <v>2</v>
      </c>
      <c r="O56" s="914">
        <f t="shared" si="3"/>
        <v>0.66666666666666663</v>
      </c>
      <c r="P56" s="974">
        <f>INDEX('2024 Unique Customer Segment'!$I$5:$I$75,MATCH('3.1 Model Assumptions &amp; Inputs'!B56,'2024 Unique Customer Segment'!$H$5:$H$75,0))</f>
        <v>1</v>
      </c>
      <c r="Q56" s="922">
        <f>INDEX('2024 Unique Customer Segment'!$I$5:$I$75,MATCH('3.1 Model Assumptions &amp; Inputs'!B56,'2024 Unique Customer Segment'!$H$5:$H$75,0))/COUNTIF($C$21:$C$70,C56)</f>
        <v>0.33333333333333331</v>
      </c>
      <c r="R56" s="978">
        <f t="shared" si="4"/>
        <v>3</v>
      </c>
      <c r="S56" s="916"/>
    </row>
    <row r="57" spans="1:19" x14ac:dyDescent="0.35">
      <c r="B57" s="573" t="s">
        <v>225</v>
      </c>
      <c r="C57" s="425" t="str">
        <f>INDEX('MCODE Final Mapping'!$L$6:$L$67,MATCH('3.1 Model Assumptions &amp; Inputs'!$B57,'MCODE Final Mapping'!$K$6:$K$67,0))</f>
        <v>PROMO-US-2024 KEYTRUDA BLAD -NMIBC</v>
      </c>
      <c r="D57" s="425" t="str">
        <f>INDEX('2.  Sales Data Key &amp; Key-Lyn'!$D$7:$D$60,MATCH('3.1 Model Assumptions &amp; Inputs'!$B57,'2.  Sales Data Key &amp; Key-Lyn'!$C$7:$C$60,0))</f>
        <v>Future Launch</v>
      </c>
      <c r="E57" s="425" t="str">
        <f>SUBSTITUTE(INDEX('2024 Consumer Focus'!$K$4:$K$74,MATCH('3.1 Model Assumptions &amp; Inputs'!$B57,'2024 Consumer Focus'!$I$4:$I$74,0)),"TBD","Low")</f>
        <v>Medium</v>
      </c>
      <c r="F57" s="425" t="str">
        <f>SUBSTITUTE(IFERROR(INDEX('Tumor Priority'!$C$6:$C$77,MATCH('3.1 Model Assumptions &amp; Inputs'!$B57,'Tumor Priority'!$B$6:$B$77,0)),"Base"),"Base","Low")</f>
        <v>Low</v>
      </c>
      <c r="G57" s="428">
        <f t="shared" si="1"/>
        <v>0.5</v>
      </c>
      <c r="H57" s="425">
        <v>0</v>
      </c>
      <c r="I57" s="429">
        <v>0.5</v>
      </c>
      <c r="J57" s="425">
        <v>0</v>
      </c>
      <c r="K57" s="425">
        <v>1</v>
      </c>
      <c r="L57" s="913">
        <f t="shared" si="2"/>
        <v>0</v>
      </c>
      <c r="M57" s="425">
        <v>0</v>
      </c>
      <c r="N57" s="425">
        <f>IF(INDEX('2024 Competitive Landscape'!$N$6:$N$76,MATCH('3.1 Model Assumptions &amp; Inputs'!$B57,'2024 Competitive Landscape'!$L$6:$L$76,0))="High",2, IF(INDEX('2024 Competitive Landscape'!$N$6:$N$76,MATCH('3.1 Model Assumptions &amp; Inputs'!$B57,'2024 Competitive Landscape'!$L$6:$L$76,0))="Medium",1,0))</f>
        <v>2</v>
      </c>
      <c r="O57" s="914">
        <f t="shared" si="3"/>
        <v>0.66666666666666663</v>
      </c>
      <c r="P57" s="974">
        <f>INDEX('2024 Unique Customer Segment'!$I$5:$I$75,MATCH('3.1 Model Assumptions &amp; Inputs'!B57,'2024 Unique Customer Segment'!$H$5:$H$75,0))</f>
        <v>1</v>
      </c>
      <c r="Q57" s="922">
        <f>INDEX('2024 Unique Customer Segment'!$I$5:$I$75,MATCH('3.1 Model Assumptions &amp; Inputs'!B57,'2024 Unique Customer Segment'!$H$5:$H$75,0))/COUNTIF($C$21:$C$70,C57)</f>
        <v>0.33333333333333331</v>
      </c>
      <c r="R57" s="978">
        <f t="shared" si="4"/>
        <v>3</v>
      </c>
      <c r="S57" s="916"/>
    </row>
    <row r="58" spans="1:19" x14ac:dyDescent="0.35">
      <c r="B58" s="573" t="s">
        <v>227</v>
      </c>
      <c r="C58" s="425" t="str">
        <f>INDEX('MCODE Final Mapping'!$L$6:$L$67,MATCH('3.1 Model Assumptions &amp; Inputs'!$B58,'MCODE Final Mapping'!$K$6:$K$67,0))</f>
        <v>PROMO-US-2024 KEYTRUDA BLAD -NMIBC</v>
      </c>
      <c r="D58" s="425" t="str">
        <f>INDEX('2.  Sales Data Key &amp; Key-Lyn'!$D$7:$D$60,MATCH('3.1 Model Assumptions &amp; Inputs'!$B58,'2.  Sales Data Key &amp; Key-Lyn'!$C$7:$C$60,0))</f>
        <v>Established</v>
      </c>
      <c r="E58" s="425" t="str">
        <f>SUBSTITUTE(INDEX('2024 Consumer Focus'!$K$4:$K$74,MATCH('3.1 Model Assumptions &amp; Inputs'!$B58,'2024 Consumer Focus'!$I$4:$I$74,0)),"TBD","Low")</f>
        <v>Medium</v>
      </c>
      <c r="F58" s="425" t="str">
        <f>SUBSTITUTE(IFERROR(INDEX('Tumor Priority'!$C$6:$C$77,MATCH('3.1 Model Assumptions &amp; Inputs'!$B58,'Tumor Priority'!$B$6:$B$77,0)),"Base"),"Base","Low")</f>
        <v>Medium</v>
      </c>
      <c r="G58" s="428">
        <f t="shared" si="1"/>
        <v>1</v>
      </c>
      <c r="H58" s="425">
        <v>0</v>
      </c>
      <c r="I58" s="429">
        <v>0.5</v>
      </c>
      <c r="J58" s="425">
        <v>0</v>
      </c>
      <c r="K58" s="425">
        <v>1</v>
      </c>
      <c r="L58" s="913">
        <f t="shared" si="2"/>
        <v>0</v>
      </c>
      <c r="M58" s="425">
        <v>0</v>
      </c>
      <c r="N58" s="425">
        <f>IF(INDEX('2024 Competitive Landscape'!$N$6:$N$76,MATCH('3.1 Model Assumptions &amp; Inputs'!$B58,'2024 Competitive Landscape'!$L$6:$L$76,0))="High",2, IF(INDEX('2024 Competitive Landscape'!$N$6:$N$76,MATCH('3.1 Model Assumptions &amp; Inputs'!$B58,'2024 Competitive Landscape'!$L$6:$L$76,0))="Medium",1,0))</f>
        <v>2</v>
      </c>
      <c r="O58" s="914">
        <f t="shared" si="3"/>
        <v>0.66666666666666663</v>
      </c>
      <c r="P58" s="974">
        <f>INDEX('2024 Unique Customer Segment'!$I$5:$I$75,MATCH('3.1 Model Assumptions &amp; Inputs'!B58,'2024 Unique Customer Segment'!$H$5:$H$75,0))</f>
        <v>1</v>
      </c>
      <c r="Q58" s="922">
        <f>INDEX('2024 Unique Customer Segment'!$I$5:$I$75,MATCH('3.1 Model Assumptions &amp; Inputs'!B58,'2024 Unique Customer Segment'!$H$5:$H$75,0))/COUNTIF($C$21:$C$70,C58)</f>
        <v>0.33333333333333331</v>
      </c>
      <c r="R58" s="978">
        <f t="shared" si="4"/>
        <v>3</v>
      </c>
      <c r="S58" s="916"/>
    </row>
    <row r="59" spans="1:19" x14ac:dyDescent="0.35">
      <c r="B59" s="573" t="s">
        <v>233</v>
      </c>
      <c r="C59" s="425" t="str">
        <f>INDEX('MCODE Final Mapping'!$L$6:$L$67,MATCH('3.1 Model Assumptions &amp; Inputs'!$B59,'MCODE Final Mapping'!$K$6:$K$67,0))</f>
        <v>PROMO-US-2024 KEYTRUDA LUNG</v>
      </c>
      <c r="D59" s="425" t="str">
        <f>INDEX('2.  Sales Data Key &amp; Key-Lyn'!$D$7:$D$60,MATCH('3.1 Model Assumptions &amp; Inputs'!$B59,'2.  Sales Data Key &amp; Key-Lyn'!$C$7:$C$60,0))</f>
        <v>Planning Year</v>
      </c>
      <c r="E59" s="425" t="str">
        <f>SUBSTITUTE(INDEX('2024 Consumer Focus'!$K$4:$K$74,MATCH('3.1 Model Assumptions &amp; Inputs'!$B59,'2024 Consumer Focus'!$I$4:$I$74,0)),"TBD","Low")</f>
        <v>High</v>
      </c>
      <c r="F59" s="425" t="str">
        <f>SUBSTITUTE(IFERROR(INDEX('Tumor Priority'!$C$6:$C$77,MATCH('3.1 Model Assumptions &amp; Inputs'!$B59,'Tumor Priority'!$B$6:$B$77,0)),"Base"),"Base","Low")</f>
        <v>High</v>
      </c>
      <c r="G59" s="428">
        <f t="shared" si="1"/>
        <v>1.5</v>
      </c>
      <c r="H59" s="425">
        <v>1</v>
      </c>
      <c r="I59" s="429">
        <v>0.5</v>
      </c>
      <c r="J59" s="425">
        <v>0</v>
      </c>
      <c r="K59" s="425">
        <v>1</v>
      </c>
      <c r="L59" s="913">
        <f t="shared" si="2"/>
        <v>0.75</v>
      </c>
      <c r="M59" s="425">
        <v>0</v>
      </c>
      <c r="N59" s="425">
        <f>IF(INDEX('2024 Competitive Landscape'!$N$6:$N$76,MATCH('3.1 Model Assumptions &amp; Inputs'!$B59,'2024 Competitive Landscape'!$L$6:$L$76,0))="High",2, IF(INDEX('2024 Competitive Landscape'!$N$6:$N$76,MATCH('3.1 Model Assumptions &amp; Inputs'!$B59,'2024 Competitive Landscape'!$L$6:$L$76,0))="Medium",1,0))</f>
        <v>2</v>
      </c>
      <c r="O59" s="914">
        <f t="shared" si="3"/>
        <v>0.2857142857142857</v>
      </c>
      <c r="P59" s="974">
        <f>INDEX('2024 Unique Customer Segment'!$I$5:$I$75,MATCH('3.1 Model Assumptions &amp; Inputs'!B59,'2024 Unique Customer Segment'!$H$5:$H$75,0))</f>
        <v>0</v>
      </c>
      <c r="Q59" s="922">
        <f>INDEX('2024 Unique Customer Segment'!$I$5:$I$75,MATCH('3.1 Model Assumptions &amp; Inputs'!B59,'2024 Unique Customer Segment'!$H$5:$H$75,0))/COUNTIF($C$21:$C$70,C59)</f>
        <v>0</v>
      </c>
      <c r="R59" s="978">
        <f t="shared" si="4"/>
        <v>2</v>
      </c>
      <c r="S59" s="916"/>
    </row>
    <row r="60" spans="1:19" x14ac:dyDescent="0.35">
      <c r="A60" s="287" t="s">
        <v>1252</v>
      </c>
      <c r="B60" s="943" t="s">
        <v>244</v>
      </c>
      <c r="C60" s="952" t="str">
        <f>INDEX('MCODE Final Mapping'!$L$6:$L$67,MATCH('3.1 Model Assumptions &amp; Inputs'!$B60,'MCODE Final Mapping'!$K$6:$K$67,0))</f>
        <v>PROMO-US-2024 KEYTRUDA LUNG</v>
      </c>
      <c r="D60" s="425" t="str">
        <f>INDEX('2.  Sales Data Key &amp; Key-Lyn'!$D$7:$D$60,MATCH('3.1 Model Assumptions &amp; Inputs'!$B60,'2.  Sales Data Key &amp; Key-Lyn'!$C$7:$C$60,0))</f>
        <v>Recent Launch</v>
      </c>
      <c r="E60" s="425" t="str">
        <f>SUBSTITUTE(INDEX('2024 Consumer Focus'!$K$4:$K$74,MATCH('3.1 Model Assumptions &amp; Inputs'!$B60,'2024 Consumer Focus'!$I$4:$I$74,0)),"TBD","Low")</f>
        <v>High</v>
      </c>
      <c r="F60" s="425" t="str">
        <f>SUBSTITUTE(IFERROR(INDEX('Tumor Priority'!$C$6:$C$77,MATCH('3.1 Model Assumptions &amp; Inputs'!$B60,'Tumor Priority'!$B$6:$B$77,0)),"Base"),"Base","Low")</f>
        <v>High</v>
      </c>
      <c r="G60" s="428">
        <f t="shared" si="1"/>
        <v>1.5</v>
      </c>
      <c r="H60" s="425">
        <v>1</v>
      </c>
      <c r="I60" s="429">
        <v>0.5</v>
      </c>
      <c r="J60" s="425">
        <v>0</v>
      </c>
      <c r="K60" s="425">
        <v>1</v>
      </c>
      <c r="L60" s="913">
        <f t="shared" si="2"/>
        <v>0.75</v>
      </c>
      <c r="M60" s="425">
        <v>0</v>
      </c>
      <c r="N60" s="425">
        <f>IF(INDEX('2024 Competitive Landscape'!$N$6:$N$76,MATCH('3.1 Model Assumptions &amp; Inputs'!$B60,'2024 Competitive Landscape'!$L$6:$L$76,0))="High",2, IF(INDEX('2024 Competitive Landscape'!$N$6:$N$76,MATCH('3.1 Model Assumptions &amp; Inputs'!$B60,'2024 Competitive Landscape'!$L$6:$L$76,0))="Medium",1,0))</f>
        <v>2</v>
      </c>
      <c r="O60" s="914">
        <f t="shared" si="3"/>
        <v>0.2857142857142857</v>
      </c>
      <c r="P60" s="974">
        <f>INDEX('2024 Unique Customer Segment'!$I$5:$I$75,MATCH('3.1 Model Assumptions &amp; Inputs'!B60,'2024 Unique Customer Segment'!$H$5:$H$75,0))</f>
        <v>2</v>
      </c>
      <c r="Q60" s="922">
        <f>INDEX('2024 Unique Customer Segment'!$I$5:$I$75,MATCH('3.1 Model Assumptions &amp; Inputs'!B60,'2024 Unique Customer Segment'!$H$5:$H$75,0))/COUNTIF($C$21:$C$70,C60)</f>
        <v>0.2857142857142857</v>
      </c>
      <c r="R60" s="978">
        <f t="shared" si="4"/>
        <v>4</v>
      </c>
      <c r="S60" s="916"/>
    </row>
    <row r="61" spans="1:19" x14ac:dyDescent="0.35">
      <c r="B61" s="573" t="s">
        <v>250</v>
      </c>
      <c r="C61" s="425" t="str">
        <f>INDEX('MCODE Final Mapping'!$L$6:$L$67,MATCH('3.1 Model Assumptions &amp; Inputs'!$B61,'MCODE Final Mapping'!$K$6:$K$67,0))</f>
        <v>PROMO-US-2024 KEYTRUDA LUNG</v>
      </c>
      <c r="D61" s="425" t="str">
        <f>INDEX('2.  Sales Data Key &amp; Key-Lyn'!$D$7:$D$60,MATCH('3.1 Model Assumptions &amp; Inputs'!$B61,'2.  Sales Data Key &amp; Key-Lyn'!$C$7:$C$60,0))</f>
        <v>Future Launch</v>
      </c>
      <c r="E61" s="425" t="str">
        <f>SUBSTITUTE(INDEX('2024 Consumer Focus'!$K$4:$K$74,MATCH('3.1 Model Assumptions &amp; Inputs'!$B61,'2024 Consumer Focus'!$I$4:$I$74,0)),"TBD","Low")</f>
        <v>High</v>
      </c>
      <c r="F61" s="425" t="str">
        <f>SUBSTITUTE(IFERROR(INDEX('Tumor Priority'!$C$6:$C$77,MATCH('3.1 Model Assumptions &amp; Inputs'!$B61,'Tumor Priority'!$B$6:$B$77,0)),"Base"),"Base","Low")</f>
        <v>Low</v>
      </c>
      <c r="G61" s="428">
        <f t="shared" si="1"/>
        <v>0.5</v>
      </c>
      <c r="H61" s="425">
        <v>0</v>
      </c>
      <c r="I61" s="429">
        <v>0.5</v>
      </c>
      <c r="J61" s="425">
        <v>0</v>
      </c>
      <c r="K61" s="425">
        <v>1</v>
      </c>
      <c r="L61" s="913">
        <f t="shared" si="2"/>
        <v>0</v>
      </c>
      <c r="M61" s="425">
        <v>0</v>
      </c>
      <c r="N61" s="425">
        <f>IF(INDEX('2024 Competitive Landscape'!$N$6:$N$76,MATCH('3.1 Model Assumptions &amp; Inputs'!$B61,'2024 Competitive Landscape'!$L$6:$L$76,0))="High",2, IF(INDEX('2024 Competitive Landscape'!$N$6:$N$76,MATCH('3.1 Model Assumptions &amp; Inputs'!$B61,'2024 Competitive Landscape'!$L$6:$L$76,0))="Medium",1,0))</f>
        <v>2</v>
      </c>
      <c r="O61" s="914">
        <f t="shared" si="3"/>
        <v>0.2857142857142857</v>
      </c>
      <c r="P61" s="974">
        <f>INDEX('2024 Unique Customer Segment'!$I$5:$I$75,MATCH('3.1 Model Assumptions &amp; Inputs'!B61,'2024 Unique Customer Segment'!$H$5:$H$75,0))</f>
        <v>0</v>
      </c>
      <c r="Q61" s="922">
        <f>INDEX('2024 Unique Customer Segment'!$I$5:$I$75,MATCH('3.1 Model Assumptions &amp; Inputs'!B61,'2024 Unique Customer Segment'!$H$5:$H$75,0))/COUNTIF($C$21:$C$70,C61)</f>
        <v>0</v>
      </c>
      <c r="R61" s="978">
        <f t="shared" si="4"/>
        <v>2</v>
      </c>
      <c r="S61" s="916"/>
    </row>
    <row r="62" spans="1:19" x14ac:dyDescent="0.35">
      <c r="B62" s="573" t="s">
        <v>258</v>
      </c>
      <c r="C62" s="425" t="str">
        <f>INDEX('MCODE Final Mapping'!$L$6:$L$67,MATCH('3.1 Model Assumptions &amp; Inputs'!$B62,'MCODE Final Mapping'!$K$6:$K$67,0))</f>
        <v>PROMO-US-2024 KEYTRUDA LUNG</v>
      </c>
      <c r="D62" s="425" t="str">
        <f>INDEX('2.  Sales Data Key &amp; Key-Lyn'!$D$7:$D$60,MATCH('3.1 Model Assumptions &amp; Inputs'!$B62,'2.  Sales Data Key &amp; Key-Lyn'!$C$7:$C$60,0))</f>
        <v>Mature</v>
      </c>
      <c r="E62" s="425" t="str">
        <f>SUBSTITUTE(INDEX('2024 Consumer Focus'!$K$4:$K$74,MATCH('3.1 Model Assumptions &amp; Inputs'!$B62,'2024 Consumer Focus'!$I$4:$I$74,0)),"TBD","Low")</f>
        <v>High</v>
      </c>
      <c r="F62" s="425" t="str">
        <f>SUBSTITUTE(IFERROR(INDEX('Tumor Priority'!$C$6:$C$77,MATCH('3.1 Model Assumptions &amp; Inputs'!$B62,'Tumor Priority'!$B$6:$B$77,0)),"Base"),"Base","Low")</f>
        <v>High</v>
      </c>
      <c r="G62" s="428">
        <f t="shared" si="1"/>
        <v>1.5</v>
      </c>
      <c r="H62" s="425">
        <v>0</v>
      </c>
      <c r="I62" s="429">
        <v>0.5</v>
      </c>
      <c r="J62" s="425">
        <v>0</v>
      </c>
      <c r="K62" s="425">
        <v>1</v>
      </c>
      <c r="L62" s="913">
        <f t="shared" si="2"/>
        <v>0</v>
      </c>
      <c r="M62" s="425">
        <v>0</v>
      </c>
      <c r="N62" s="425">
        <f>IF(INDEX('2024 Competitive Landscape'!$N$6:$N$76,MATCH('3.1 Model Assumptions &amp; Inputs'!$B62,'2024 Competitive Landscape'!$L$6:$L$76,0))="High",2, IF(INDEX('2024 Competitive Landscape'!$N$6:$N$76,MATCH('3.1 Model Assumptions &amp; Inputs'!$B62,'2024 Competitive Landscape'!$L$6:$L$76,0))="Medium",1,0))</f>
        <v>2</v>
      </c>
      <c r="O62" s="914">
        <f t="shared" si="3"/>
        <v>0.2857142857142857</v>
      </c>
      <c r="P62" s="974">
        <f>INDEX('2024 Unique Customer Segment'!$I$5:$I$75,MATCH('3.1 Model Assumptions &amp; Inputs'!B62,'2024 Unique Customer Segment'!$H$5:$H$75,0))</f>
        <v>0</v>
      </c>
      <c r="Q62" s="922">
        <f>INDEX('2024 Unique Customer Segment'!$I$5:$I$75,MATCH('3.1 Model Assumptions &amp; Inputs'!B62,'2024 Unique Customer Segment'!$H$5:$H$75,0))/COUNTIF($C$21:$C$70,C62)</f>
        <v>0</v>
      </c>
      <c r="R62" s="978">
        <f t="shared" si="4"/>
        <v>2</v>
      </c>
      <c r="S62" s="916"/>
    </row>
    <row r="63" spans="1:19" x14ac:dyDescent="0.35">
      <c r="B63" s="573" t="s">
        <v>269</v>
      </c>
      <c r="C63" s="425" t="str">
        <f>INDEX('MCODE Final Mapping'!$L$6:$L$67,MATCH('3.1 Model Assumptions &amp; Inputs'!$B63,'MCODE Final Mapping'!$K$6:$K$67,0))</f>
        <v>PROMO-US-2024 KEYTRUDA LUNG</v>
      </c>
      <c r="D63" s="425" t="str">
        <f>INDEX('2.  Sales Data Key &amp; Key-Lyn'!$D$7:$D$60,MATCH('3.1 Model Assumptions &amp; Inputs'!$B63,'2.  Sales Data Key &amp; Key-Lyn'!$C$7:$C$60,0))</f>
        <v>Mature</v>
      </c>
      <c r="E63" s="425" t="str">
        <f>SUBSTITUTE(INDEX('2024 Consumer Focus'!$K$4:$K$74,MATCH('3.1 Model Assumptions &amp; Inputs'!$B63,'2024 Consumer Focus'!$I$4:$I$74,0)),"TBD","Low")</f>
        <v>High</v>
      </c>
      <c r="F63" s="425" t="str">
        <f>SUBSTITUTE(IFERROR(INDEX('Tumor Priority'!$C$6:$C$77,MATCH('3.1 Model Assumptions &amp; Inputs'!$B63,'Tumor Priority'!$B$6:$B$77,0)),"Base"),"Base","Low")</f>
        <v>Medium</v>
      </c>
      <c r="G63" s="428">
        <f t="shared" si="1"/>
        <v>1</v>
      </c>
      <c r="H63" s="425">
        <v>0</v>
      </c>
      <c r="I63" s="429">
        <v>0.5</v>
      </c>
      <c r="J63" s="425">
        <v>0</v>
      </c>
      <c r="K63" s="425">
        <v>1</v>
      </c>
      <c r="L63" s="913">
        <f t="shared" si="2"/>
        <v>0</v>
      </c>
      <c r="M63" s="425">
        <v>0</v>
      </c>
      <c r="N63" s="425">
        <f>IF(INDEX('2024 Competitive Landscape'!$N$6:$N$76,MATCH('3.1 Model Assumptions &amp; Inputs'!$B63,'2024 Competitive Landscape'!$L$6:$L$76,0))="High",2, IF(INDEX('2024 Competitive Landscape'!$N$6:$N$76,MATCH('3.1 Model Assumptions &amp; Inputs'!$B63,'2024 Competitive Landscape'!$L$6:$L$76,0))="Medium",1,0))</f>
        <v>2</v>
      </c>
      <c r="O63" s="914">
        <f t="shared" si="3"/>
        <v>0.2857142857142857</v>
      </c>
      <c r="P63" s="974">
        <f>INDEX('2024 Unique Customer Segment'!$I$5:$I$75,MATCH('3.1 Model Assumptions &amp; Inputs'!B63,'2024 Unique Customer Segment'!$H$5:$H$75,0))</f>
        <v>0</v>
      </c>
      <c r="Q63" s="922">
        <f>INDEX('2024 Unique Customer Segment'!$I$5:$I$75,MATCH('3.1 Model Assumptions &amp; Inputs'!B63,'2024 Unique Customer Segment'!$H$5:$H$75,0))/COUNTIF($C$21:$C$70,C63)</f>
        <v>0</v>
      </c>
      <c r="R63" s="978">
        <f t="shared" si="4"/>
        <v>2</v>
      </c>
      <c r="S63" s="916"/>
    </row>
    <row r="64" spans="1:19" x14ac:dyDescent="0.35">
      <c r="B64" s="573" t="s">
        <v>272</v>
      </c>
      <c r="C64" s="425" t="str">
        <f>INDEX('MCODE Final Mapping'!$L$6:$L$67,MATCH('3.1 Model Assumptions &amp; Inputs'!$B64,'MCODE Final Mapping'!$K$6:$K$67,0))</f>
        <v>PROMO-US-2024 KEYTRUDA LUNG</v>
      </c>
      <c r="D64" s="425" t="str">
        <f>INDEX('2.  Sales Data Key &amp; Key-Lyn'!$D$7:$D$60,MATCH('3.1 Model Assumptions &amp; Inputs'!$B64,'2.  Sales Data Key &amp; Key-Lyn'!$C$7:$C$60,0))</f>
        <v>Recent Launch</v>
      </c>
      <c r="E64" s="425" t="str">
        <f>SUBSTITUTE(INDEX('2024 Consumer Focus'!$K$4:$K$74,MATCH('3.1 Model Assumptions &amp; Inputs'!$B64,'2024 Consumer Focus'!$I$4:$I$74,0)),"TBD","Low")</f>
        <v>High</v>
      </c>
      <c r="F64" s="425" t="str">
        <f>SUBSTITUTE(IFERROR(INDEX('Tumor Priority'!$C$6:$C$77,MATCH('3.1 Model Assumptions &amp; Inputs'!$B64,'Tumor Priority'!$B$6:$B$77,0)),"Base"),"Base","Low")</f>
        <v>High</v>
      </c>
      <c r="G64" s="428">
        <f t="shared" si="1"/>
        <v>1.5</v>
      </c>
      <c r="H64" s="425">
        <v>0</v>
      </c>
      <c r="I64" s="429">
        <v>0.5</v>
      </c>
      <c r="J64" s="425">
        <v>0</v>
      </c>
      <c r="K64" s="425">
        <v>1</v>
      </c>
      <c r="L64" s="913">
        <f t="shared" si="2"/>
        <v>0</v>
      </c>
      <c r="M64" s="425">
        <v>0</v>
      </c>
      <c r="N64" s="425">
        <f>IF(INDEX('2024 Competitive Landscape'!$N$6:$N$76,MATCH('3.1 Model Assumptions &amp; Inputs'!$B64,'2024 Competitive Landscape'!$L$6:$L$76,0))="High",2, IF(INDEX('2024 Competitive Landscape'!$N$6:$N$76,MATCH('3.1 Model Assumptions &amp; Inputs'!$B64,'2024 Competitive Landscape'!$L$6:$L$76,0))="Medium",1,0))</f>
        <v>2</v>
      </c>
      <c r="O64" s="914">
        <f t="shared" si="3"/>
        <v>0.2857142857142857</v>
      </c>
      <c r="P64" s="974">
        <f>INDEX('2024 Unique Customer Segment'!$I$5:$I$75,MATCH('3.1 Model Assumptions &amp; Inputs'!B64,'2024 Unique Customer Segment'!$H$5:$H$75,0))</f>
        <v>0</v>
      </c>
      <c r="Q64" s="922">
        <f>INDEX('2024 Unique Customer Segment'!$I$5:$I$75,MATCH('3.1 Model Assumptions &amp; Inputs'!B64,'2024 Unique Customer Segment'!$H$5:$H$75,0))/COUNTIF($C$21:$C$70,C64)</f>
        <v>0</v>
      </c>
      <c r="R64" s="978">
        <f t="shared" si="4"/>
        <v>2</v>
      </c>
      <c r="S64" s="916"/>
    </row>
    <row r="65" spans="2:19" x14ac:dyDescent="0.35">
      <c r="B65" s="573" t="s">
        <v>278</v>
      </c>
      <c r="C65" s="425" t="str">
        <f>INDEX('MCODE Final Mapping'!$L$6:$L$67,MATCH('3.1 Model Assumptions &amp; Inputs'!$B65,'MCODE Final Mapping'!$K$6:$K$67,0))</f>
        <v>PROMO-US-2024 KEYTRUDA OVARIAN AND GYN</v>
      </c>
      <c r="D65" s="425" t="str">
        <f>INDEX('2.  Sales Data Key &amp; Key-Lyn'!$D$7:$D$60,MATCH('3.1 Model Assumptions &amp; Inputs'!$B65,'2.  Sales Data Key &amp; Key-Lyn'!$C$7:$C$60,0))</f>
        <v>Planning Year</v>
      </c>
      <c r="E65" s="425" t="str">
        <f>SUBSTITUTE(INDEX('2024 Consumer Focus'!$K$4:$K$74,MATCH('3.1 Model Assumptions &amp; Inputs'!$B65,'2024 Consumer Focus'!$I$4:$I$74,0)),"TBD","Low")</f>
        <v>Low</v>
      </c>
      <c r="F65" s="425" t="str">
        <f>SUBSTITUTE(IFERROR(INDEX('Tumor Priority'!$C$6:$C$77,MATCH('3.1 Model Assumptions &amp; Inputs'!$B65,'Tumor Priority'!$B$6:$B$77,0)),"Base"),"Base","Low")</f>
        <v>High</v>
      </c>
      <c r="G65" s="428">
        <f t="shared" si="1"/>
        <v>1.5</v>
      </c>
      <c r="H65" s="425">
        <v>1</v>
      </c>
      <c r="I65" s="429">
        <v>0.5</v>
      </c>
      <c r="J65" s="425">
        <v>0</v>
      </c>
      <c r="K65" s="425">
        <v>1</v>
      </c>
      <c r="L65" s="913">
        <f t="shared" si="2"/>
        <v>0.75</v>
      </c>
      <c r="M65" s="425">
        <v>0</v>
      </c>
      <c r="N65" s="425">
        <f>IF(INDEX('2024 Competitive Landscape'!$N$6:$N$76,MATCH('3.1 Model Assumptions &amp; Inputs'!$B65,'2024 Competitive Landscape'!$L$6:$L$76,0))="High",2, IF(INDEX('2024 Competitive Landscape'!$N$6:$N$76,MATCH('3.1 Model Assumptions &amp; Inputs'!$B65,'2024 Competitive Landscape'!$L$6:$L$76,0))="Medium",1,0))</f>
        <v>2</v>
      </c>
      <c r="O65" s="914">
        <f t="shared" si="3"/>
        <v>2</v>
      </c>
      <c r="P65" s="974">
        <f>INDEX('2024 Unique Customer Segment'!$I$5:$I$75,MATCH('3.1 Model Assumptions &amp; Inputs'!B65,'2024 Unique Customer Segment'!$H$5:$H$75,0))</f>
        <v>0</v>
      </c>
      <c r="Q65" s="922">
        <f>INDEX('2024 Unique Customer Segment'!$I$5:$I$75,MATCH('3.1 Model Assumptions &amp; Inputs'!B65,'2024 Unique Customer Segment'!$H$5:$H$75,0))/COUNTIF($C$21:$C$70,C65)</f>
        <v>0</v>
      </c>
      <c r="R65" s="978">
        <f t="shared" si="4"/>
        <v>2</v>
      </c>
      <c r="S65" s="916"/>
    </row>
    <row r="66" spans="2:19" x14ac:dyDescent="0.35">
      <c r="B66" s="573" t="s">
        <v>351</v>
      </c>
      <c r="C66" s="425" t="str">
        <f>INDEX('MCODE Final Mapping'!$L$6:$L$67,MATCH('3.1 Model Assumptions &amp; Inputs'!$B66,'MCODE Final Mapping'!$K$6:$K$67,0))</f>
        <v>PROMO-US-2024 KEYTRUDA ADJUVANT RCC</v>
      </c>
      <c r="D66" s="425" t="str">
        <f>INDEX('2.  Sales Data Key &amp; Key-Lyn'!$D$7:$D$60,MATCH('3.1 Model Assumptions &amp; Inputs'!$B66,'2.  Sales Data Key &amp; Key-Lyn'!$C$7:$C$60,0))</f>
        <v>Established</v>
      </c>
      <c r="E66" s="425" t="str">
        <f>SUBSTITUTE(INDEX('2024 Consumer Focus'!$K$4:$K$74,MATCH('3.1 Model Assumptions &amp; Inputs'!$B66,'2024 Consumer Focus'!$I$4:$I$74,0)),"TBD","Low")</f>
        <v>High</v>
      </c>
      <c r="F66" s="425" t="str">
        <f>SUBSTITUTE(IFERROR(INDEX('Tumor Priority'!$C$6:$C$77,MATCH('3.1 Model Assumptions &amp; Inputs'!$B66,'Tumor Priority'!$B$6:$B$77,0)),"Base"),"Base","Low")</f>
        <v>High</v>
      </c>
      <c r="G66" s="428">
        <f t="shared" si="1"/>
        <v>1.5</v>
      </c>
      <c r="H66" s="425">
        <v>0</v>
      </c>
      <c r="I66" s="429">
        <v>0.5</v>
      </c>
      <c r="J66" s="425">
        <v>0</v>
      </c>
      <c r="K66" s="425">
        <v>1</v>
      </c>
      <c r="L66" s="913">
        <f t="shared" si="2"/>
        <v>0</v>
      </c>
      <c r="M66" s="425">
        <v>0</v>
      </c>
      <c r="N66" s="425">
        <f>IF(INDEX('2024 Competitive Landscape'!$N$6:$N$76,MATCH('3.1 Model Assumptions &amp; Inputs'!$B66,'2024 Competitive Landscape'!$L$6:$L$76,0))="High",2, IF(INDEX('2024 Competitive Landscape'!$N$6:$N$76,MATCH('3.1 Model Assumptions &amp; Inputs'!$B66,'2024 Competitive Landscape'!$L$6:$L$76,0))="Medium",1,0))</f>
        <v>1</v>
      </c>
      <c r="O66" s="914">
        <f t="shared" si="3"/>
        <v>1</v>
      </c>
      <c r="P66" s="974">
        <f>INDEX('2024 Unique Customer Segment'!$I$5:$I$75,MATCH('3.1 Model Assumptions &amp; Inputs'!B66,'2024 Unique Customer Segment'!$H$5:$H$75,0))</f>
        <v>1</v>
      </c>
      <c r="Q66" s="922">
        <f>INDEX('2024 Unique Customer Segment'!$I$5:$I$75,MATCH('3.1 Model Assumptions &amp; Inputs'!B66,'2024 Unique Customer Segment'!$H$5:$H$75,0))/COUNTIF($C$21:$C$70,C66)</f>
        <v>1</v>
      </c>
      <c r="R66" s="978">
        <f t="shared" si="4"/>
        <v>2</v>
      </c>
      <c r="S66" s="916"/>
    </row>
    <row r="67" spans="2:19" x14ac:dyDescent="0.35">
      <c r="B67" s="573" t="s">
        <v>323</v>
      </c>
      <c r="C67" s="425" t="str">
        <f>INDEX('MCODE Final Mapping'!$L$6:$L$67,MATCH('3.1 Model Assumptions &amp; Inputs'!$B67,'MCODE Final Mapping'!$K$6:$K$67,0))</f>
        <v>PROMO-US-2024 KEYTRUDA BREAST CANC</v>
      </c>
      <c r="D67" s="425" t="str">
        <f>INDEX('2.  Sales Data Key &amp; Key-Lyn'!$D$7:$D$60,MATCH('3.1 Model Assumptions &amp; Inputs'!$B67,'2.  Sales Data Key &amp; Key-Lyn'!$C$7:$C$60,0))</f>
        <v>Future Launch</v>
      </c>
      <c r="E67" s="425" t="str">
        <f>SUBSTITUTE(INDEX('2024 Consumer Focus'!$K$4:$K$74,MATCH('3.1 Model Assumptions &amp; Inputs'!$B67,'2024 Consumer Focus'!$I$4:$I$74,0)),"TBD","Low")</f>
        <v>High</v>
      </c>
      <c r="F67" s="425" t="str">
        <f>SUBSTITUTE(IFERROR(INDEX('Tumor Priority'!$C$6:$C$77,MATCH('3.1 Model Assumptions &amp; Inputs'!$B67,'Tumor Priority'!$B$6:$B$77,0)),"Base"),"Base","Low")</f>
        <v>Low</v>
      </c>
      <c r="G67" s="428">
        <f t="shared" si="1"/>
        <v>0.5</v>
      </c>
      <c r="H67" s="425">
        <v>0</v>
      </c>
      <c r="I67" s="429">
        <v>0.5</v>
      </c>
      <c r="J67" s="425">
        <v>0</v>
      </c>
      <c r="K67" s="425">
        <v>1</v>
      </c>
      <c r="L67" s="913">
        <f t="shared" si="2"/>
        <v>0</v>
      </c>
      <c r="M67" s="425">
        <v>0</v>
      </c>
      <c r="N67" s="425">
        <f>IF(INDEX('2024 Competitive Landscape'!$N$6:$N$76,MATCH('3.1 Model Assumptions &amp; Inputs'!$B67,'2024 Competitive Landscape'!$L$6:$L$76,0))="High",2, IF(INDEX('2024 Competitive Landscape'!$N$6:$N$76,MATCH('3.1 Model Assumptions &amp; Inputs'!$B67,'2024 Competitive Landscape'!$L$6:$L$76,0))="Medium",1,0))</f>
        <v>2</v>
      </c>
      <c r="O67" s="914">
        <f t="shared" si="3"/>
        <v>0.5</v>
      </c>
      <c r="P67" s="974">
        <f>INDEX('2024 Unique Customer Segment'!$I$5:$I$75,MATCH('3.1 Model Assumptions &amp; Inputs'!B67,'2024 Unique Customer Segment'!$H$5:$H$75,0))</f>
        <v>0</v>
      </c>
      <c r="Q67" s="922">
        <f>INDEX('2024 Unique Customer Segment'!$I$5:$I$75,MATCH('3.1 Model Assumptions &amp; Inputs'!B67,'2024 Unique Customer Segment'!$H$5:$H$75,0))/COUNTIF($C$21:$C$70,C67)</f>
        <v>0</v>
      </c>
      <c r="R67" s="978">
        <f t="shared" si="4"/>
        <v>2</v>
      </c>
      <c r="S67" s="916"/>
    </row>
    <row r="68" spans="2:19" x14ac:dyDescent="0.35">
      <c r="B68" s="573" t="s">
        <v>325</v>
      </c>
      <c r="C68" s="425" t="str">
        <f>INDEX('MCODE Final Mapping'!$L$6:$L$67,MATCH('3.1 Model Assumptions &amp; Inputs'!$B68,'MCODE Final Mapping'!$K$6:$K$67,0))</f>
        <v>PROMO-US-2024 KEYTRUDA BREAST CANC</v>
      </c>
      <c r="D68" s="425" t="str">
        <f>INDEX('2.  Sales Data Key &amp; Key-Lyn'!$D$7:$D$60,MATCH('3.1 Model Assumptions &amp; Inputs'!$B68,'2.  Sales Data Key &amp; Key-Lyn'!$C$7:$C$60,0))</f>
        <v>Mature</v>
      </c>
      <c r="E68" s="425" t="str">
        <f>SUBSTITUTE(INDEX('2024 Consumer Focus'!$K$4:$K$74,MATCH('3.1 Model Assumptions &amp; Inputs'!$B68,'2024 Consumer Focus'!$I$4:$I$74,0)),"TBD","Low")</f>
        <v>High</v>
      </c>
      <c r="F68" s="425" t="str">
        <f>SUBSTITUTE(IFERROR(INDEX('Tumor Priority'!$C$6:$C$77,MATCH('3.1 Model Assumptions &amp; Inputs'!$B68,'Tumor Priority'!$B$6:$B$77,0)),"Base"),"Base","Low")</f>
        <v>Low</v>
      </c>
      <c r="G68" s="428">
        <f t="shared" si="1"/>
        <v>0.5</v>
      </c>
      <c r="H68" s="425">
        <v>0</v>
      </c>
      <c r="I68" s="429">
        <v>0.5</v>
      </c>
      <c r="J68" s="425">
        <v>0</v>
      </c>
      <c r="K68" s="425">
        <v>1</v>
      </c>
      <c r="L68" s="913">
        <f t="shared" si="2"/>
        <v>0</v>
      </c>
      <c r="M68" s="425">
        <v>0</v>
      </c>
      <c r="N68" s="425">
        <f>IF(INDEX('2024 Competitive Landscape'!$N$6:$N$76,MATCH('3.1 Model Assumptions &amp; Inputs'!$B68,'2024 Competitive Landscape'!$L$6:$L$76,0))="High",2, IF(INDEX('2024 Competitive Landscape'!$N$6:$N$76,MATCH('3.1 Model Assumptions &amp; Inputs'!$B68,'2024 Competitive Landscape'!$L$6:$L$76,0))="Medium",1,0))</f>
        <v>2</v>
      </c>
      <c r="O68" s="914">
        <f t="shared" si="3"/>
        <v>0.5</v>
      </c>
      <c r="P68" s="974">
        <f>INDEX('2024 Unique Customer Segment'!$I$5:$I$75,MATCH('3.1 Model Assumptions &amp; Inputs'!B68,'2024 Unique Customer Segment'!$H$5:$H$75,0))</f>
        <v>0</v>
      </c>
      <c r="Q68" s="922">
        <f>INDEX('2024 Unique Customer Segment'!$I$5:$I$75,MATCH('3.1 Model Assumptions &amp; Inputs'!B68,'2024 Unique Customer Segment'!$H$5:$H$75,0))/COUNTIF($C$21:$C$70,C68)</f>
        <v>0</v>
      </c>
      <c r="R68" s="978">
        <f t="shared" si="4"/>
        <v>2</v>
      </c>
      <c r="S68" s="916"/>
    </row>
    <row r="69" spans="2:19" x14ac:dyDescent="0.35">
      <c r="B69" s="573" t="s">
        <v>329</v>
      </c>
      <c r="C69" s="425" t="str">
        <f>INDEX('MCODE Final Mapping'!$L$6:$L$67,MATCH('3.1 Model Assumptions &amp; Inputs'!$B69,'MCODE Final Mapping'!$K$6:$K$67,0))</f>
        <v>PROMO-US-2024 KEYTRUDA BREAST CANC</v>
      </c>
      <c r="D69" s="425" t="str">
        <f>INDEX('2.  Sales Data Key &amp; Key-Lyn'!$D$7:$D$60,MATCH('3.1 Model Assumptions &amp; Inputs'!$B69,'2.  Sales Data Key &amp; Key-Lyn'!$C$7:$C$60,0))</f>
        <v>Established</v>
      </c>
      <c r="E69" s="425" t="str">
        <f>SUBSTITUTE(INDEX('2024 Consumer Focus'!$K$4:$K$74,MATCH('3.1 Model Assumptions &amp; Inputs'!$B69,'2024 Consumer Focus'!$I$4:$I$74,0)),"TBD","Low")</f>
        <v>High</v>
      </c>
      <c r="F69" s="425" t="str">
        <f>SUBSTITUTE(IFERROR(INDEX('Tumor Priority'!$C$6:$C$77,MATCH('3.1 Model Assumptions &amp; Inputs'!$B69,'Tumor Priority'!$B$6:$B$77,0)),"Base"),"Base","Low")</f>
        <v>High</v>
      </c>
      <c r="G69" s="428">
        <f t="shared" si="1"/>
        <v>1.5</v>
      </c>
      <c r="H69" s="425">
        <v>0</v>
      </c>
      <c r="I69" s="429">
        <v>0.5</v>
      </c>
      <c r="J69" s="425">
        <v>0</v>
      </c>
      <c r="K69" s="425">
        <v>1</v>
      </c>
      <c r="L69" s="913">
        <f t="shared" si="2"/>
        <v>0</v>
      </c>
      <c r="M69" s="425">
        <v>0</v>
      </c>
      <c r="N69" s="425">
        <f>IF(INDEX('2024 Competitive Landscape'!$N$6:$N$76,MATCH('3.1 Model Assumptions &amp; Inputs'!$B69,'2024 Competitive Landscape'!$L$6:$L$76,0))="High",2, IF(INDEX('2024 Competitive Landscape'!$N$6:$N$76,MATCH('3.1 Model Assumptions &amp; Inputs'!$B69,'2024 Competitive Landscape'!$L$6:$L$76,0))="Medium",1,0))</f>
        <v>2</v>
      </c>
      <c r="O69" s="914">
        <f t="shared" si="3"/>
        <v>0.5</v>
      </c>
      <c r="P69" s="974">
        <f>INDEX('2024 Unique Customer Segment'!$I$5:$I$75,MATCH('3.1 Model Assumptions &amp; Inputs'!B69,'2024 Unique Customer Segment'!$H$5:$H$75,0))</f>
        <v>1</v>
      </c>
      <c r="Q69" s="922">
        <f>INDEX('2024 Unique Customer Segment'!$I$5:$I$75,MATCH('3.1 Model Assumptions &amp; Inputs'!B69,'2024 Unique Customer Segment'!$H$5:$H$75,0))/COUNTIF($C$21:$C$70,C69)</f>
        <v>0.25</v>
      </c>
      <c r="R69" s="978">
        <f t="shared" si="4"/>
        <v>3</v>
      </c>
      <c r="S69" s="916"/>
    </row>
    <row r="70" spans="2:19" ht="15" thickBot="1" x14ac:dyDescent="0.4">
      <c r="B70" s="574" t="s">
        <v>336</v>
      </c>
      <c r="C70" s="575" t="str">
        <f>INDEX('MCODE Final Mapping'!$L$6:$L$67,MATCH('3.1 Model Assumptions &amp; Inputs'!$B70,'MCODE Final Mapping'!$K$6:$K$67,0))</f>
        <v>PROMO-US-2024 KEYTRUDA BLAD - mUC</v>
      </c>
      <c r="D70" s="575" t="str">
        <f>INDEX('2.  Sales Data Key &amp; Key-Lyn'!$D$7:$D$60,MATCH('3.1 Model Assumptions &amp; Inputs'!$B70,'2.  Sales Data Key &amp; Key-Lyn'!$C$7:$C$60,0))</f>
        <v>Mature</v>
      </c>
      <c r="E70" s="575" t="str">
        <f>SUBSTITUTE(INDEX('2024 Consumer Focus'!$K$4:$K$74,MATCH('3.1 Model Assumptions &amp; Inputs'!$B70,'2024 Consumer Focus'!$I$4:$I$74,0)),"TBD","Low")</f>
        <v>Medium</v>
      </c>
      <c r="F70" s="575" t="str">
        <f>SUBSTITUTE(IFERROR(INDEX('Tumor Priority'!$C$6:$C$77,MATCH('3.1 Model Assumptions &amp; Inputs'!$B70,'Tumor Priority'!$B$6:$B$77,0)),"Base"),"Base","Low")</f>
        <v>Low</v>
      </c>
      <c r="G70" s="576">
        <f t="shared" si="1"/>
        <v>0.5</v>
      </c>
      <c r="H70" s="425">
        <v>0</v>
      </c>
      <c r="I70" s="577">
        <v>0.5</v>
      </c>
      <c r="J70" s="575">
        <v>0</v>
      </c>
      <c r="K70" s="575">
        <v>1</v>
      </c>
      <c r="L70" s="925">
        <f t="shared" si="2"/>
        <v>0</v>
      </c>
      <c r="M70" s="575">
        <v>0</v>
      </c>
      <c r="N70" s="575">
        <f>IF(INDEX('2024 Competitive Landscape'!$N$6:$N$76,MATCH('3.1 Model Assumptions &amp; Inputs'!$B70,'2024 Competitive Landscape'!$L$6:$L$76,0))="High",2, IF(INDEX('2024 Competitive Landscape'!$N$6:$N$76,MATCH('3.1 Model Assumptions &amp; Inputs'!$B70,'2024 Competitive Landscape'!$L$6:$L$76,0))="Medium",1,0))</f>
        <v>1</v>
      </c>
      <c r="O70" s="915">
        <f t="shared" si="3"/>
        <v>0.33333333333333331</v>
      </c>
      <c r="P70" s="975">
        <f>INDEX('2024 Unique Customer Segment'!$I$5:$I$75,MATCH('3.1 Model Assumptions &amp; Inputs'!B70,'2024 Unique Customer Segment'!$H$5:$H$75,0))</f>
        <v>0</v>
      </c>
      <c r="Q70" s="923">
        <f>INDEX('2024 Unique Customer Segment'!$I$5:$I$75,MATCH('3.1 Model Assumptions &amp; Inputs'!B70,'2024 Unique Customer Segment'!$H$5:$H$75,0))/COUNTIF($C$21:$C$70,C70)</f>
        <v>0</v>
      </c>
      <c r="R70" s="979">
        <f t="shared" si="4"/>
        <v>1</v>
      </c>
      <c r="S70" s="916"/>
    </row>
    <row r="71" spans="2:19" x14ac:dyDescent="0.35">
      <c r="P71" s="976"/>
    </row>
  </sheetData>
  <autoFilter ref="B20:R70" xr:uid="{8E2B5920-E288-4E3A-B5E6-3D46A34C9C3D}"/>
  <conditionalFormatting sqref="H21:H70">
    <cfRule type="expression" dxfId="107" priority="2">
      <formula>H21=1</formula>
    </cfRule>
  </conditionalFormatting>
  <conditionalFormatting sqref="J21:J70">
    <cfRule type="expression" dxfId="106" priority="1">
      <formula>J21=1</formula>
    </cfRule>
  </conditionalFormatting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4221-8563-481F-AE0C-F452FCA3DF96}">
  <sheetPr>
    <tabColor theme="5" tint="0.39997558519241921"/>
    <pageSetUpPr autoPageBreaks="0"/>
  </sheetPr>
  <dimension ref="A1:AL78"/>
  <sheetViews>
    <sheetView topLeftCell="C4" zoomScaleNormal="100" workbookViewId="0">
      <pane xSplit="5" ySplit="6" topLeftCell="Q47" activePane="bottomRight" state="frozen"/>
      <selection activeCell="C4" sqref="C4"/>
      <selection pane="topRight" activeCell="H4" sqref="H4"/>
      <selection pane="bottomLeft" activeCell="C10" sqref="C10"/>
      <selection pane="bottomRight" activeCell="T59" sqref="T59"/>
    </sheetView>
  </sheetViews>
  <sheetFormatPr defaultColWidth="8.7265625" defaultRowHeight="14.5" x14ac:dyDescent="0.35"/>
  <cols>
    <col min="1" max="1" width="16.26953125" style="265" customWidth="1"/>
    <col min="2" max="2" width="15.453125" style="265" customWidth="1"/>
    <col min="3" max="3" width="25.7265625" style="265" hidden="1" customWidth="1"/>
    <col min="4" max="4" width="41.54296875" style="265" bestFit="1" customWidth="1"/>
    <col min="5" max="5" width="47.7265625" style="265" bestFit="1" customWidth="1"/>
    <col min="6" max="6" width="18.26953125" style="265" customWidth="1"/>
    <col min="7" max="7" width="21.26953125" style="265" hidden="1" customWidth="1"/>
    <col min="8" max="8" width="17.54296875" style="265" bestFit="1" customWidth="1"/>
    <col min="9" max="9" width="20.26953125" style="265" customWidth="1"/>
    <col min="10" max="10" width="15.54296875" style="265" bestFit="1" customWidth="1"/>
    <col min="11" max="11" width="13.08984375" style="265" bestFit="1" customWidth="1"/>
    <col min="12" max="12" width="17.54296875" style="265" bestFit="1" customWidth="1"/>
    <col min="13" max="13" width="21.26953125" style="265" bestFit="1" customWidth="1"/>
    <col min="14" max="14" width="15.54296875" style="265" bestFit="1" customWidth="1"/>
    <col min="15" max="15" width="20" style="265" bestFit="1" customWidth="1"/>
    <col min="16" max="16" width="13.1796875" style="265" customWidth="1"/>
    <col min="17" max="17" width="15.26953125" style="265" customWidth="1"/>
    <col min="18" max="18" width="10.6328125" style="265" bestFit="1" customWidth="1"/>
    <col min="19" max="20" width="15" style="265" bestFit="1" customWidth="1"/>
    <col min="21" max="21" width="11.81640625" style="265" customWidth="1"/>
    <col min="22" max="22" width="12.08984375" style="265" customWidth="1"/>
    <col min="23" max="23" width="14.1796875" style="265" customWidth="1"/>
    <col min="24" max="24" width="17.26953125" style="265" bestFit="1" customWidth="1"/>
    <col min="25" max="25" width="11.26953125" style="265" customWidth="1"/>
    <col min="26" max="26" width="10" style="265" customWidth="1"/>
    <col min="27" max="27" width="12.81640625" style="265" customWidth="1"/>
    <col min="28" max="28" width="19.1796875" style="265" bestFit="1" customWidth="1"/>
    <col min="29" max="29" width="16" style="265" customWidth="1"/>
    <col min="30" max="30" width="14.90625" style="265" customWidth="1"/>
    <col min="31" max="31" width="10.6328125" style="265" bestFit="1" customWidth="1"/>
    <col min="32" max="32" width="15.6328125" style="265" bestFit="1" customWidth="1"/>
    <col min="33" max="33" width="17" style="265" bestFit="1" customWidth="1"/>
    <col min="34" max="34" width="21.36328125" style="268" bestFit="1" customWidth="1"/>
    <col min="35" max="35" width="19.08984375" style="265" bestFit="1" customWidth="1"/>
    <col min="36" max="36" width="19.6328125" style="265" bestFit="1" customWidth="1"/>
    <col min="37" max="16384" width="8.7265625" style="265"/>
  </cols>
  <sheetData>
    <row r="1" spans="1:36" x14ac:dyDescent="0.35">
      <c r="A1" s="270"/>
      <c r="P1" s="272" t="s">
        <v>490</v>
      </c>
    </row>
    <row r="2" spans="1:36" x14ac:dyDescent="0.35">
      <c r="A2" s="271"/>
      <c r="F2"/>
      <c r="G2"/>
      <c r="P2" s="272" t="s">
        <v>492</v>
      </c>
    </row>
    <row r="3" spans="1:36" x14ac:dyDescent="0.35">
      <c r="K3" s="738"/>
      <c r="P3" s="272" t="s">
        <v>493</v>
      </c>
    </row>
    <row r="4" spans="1:36" ht="15" thickBot="1" x14ac:dyDescent="0.4">
      <c r="P4" s="272" t="s">
        <v>494</v>
      </c>
    </row>
    <row r="5" spans="1:36" ht="47.15" customHeight="1" thickBot="1" x14ac:dyDescent="0.4">
      <c r="F5" s="1058" t="s">
        <v>495</v>
      </c>
      <c r="G5" s="1059"/>
      <c r="H5" s="864">
        <f>'3.1 Model Assumptions &amp; Inputs'!$E$12</f>
        <v>236.60130899999999</v>
      </c>
      <c r="I5" s="673" t="s">
        <v>496</v>
      </c>
      <c r="J5" s="801"/>
      <c r="K5" s="674"/>
      <c r="L5" s="675"/>
      <c r="M5" s="674"/>
      <c r="N5" s="674"/>
      <c r="O5" s="674"/>
      <c r="P5" s="675"/>
      <c r="Q5" s="674"/>
      <c r="R5" s="674"/>
      <c r="S5" s="674"/>
      <c r="T5" s="674"/>
      <c r="AC5" s="674"/>
      <c r="AD5" s="674"/>
      <c r="AE5" s="674"/>
      <c r="AF5" s="674"/>
      <c r="AG5" s="674"/>
      <c r="AH5" s="273" t="s">
        <v>497</v>
      </c>
    </row>
    <row r="6" spans="1:36" ht="20.5" customHeight="1" thickBot="1" x14ac:dyDescent="0.4">
      <c r="F6" s="1060" t="s">
        <v>498</v>
      </c>
      <c r="G6" s="1061"/>
      <c r="H6" s="865">
        <f>+I6*H5</f>
        <v>59.150327249999997</v>
      </c>
      <c r="I6" s="866">
        <f>'3.1 Model Assumptions &amp; Inputs'!$D$6</f>
        <v>0.25</v>
      </c>
      <c r="J6" s="867"/>
      <c r="K6" s="868">
        <f ca="1">SUM(K10:K59)</f>
        <v>59.150327249999989</v>
      </c>
      <c r="L6" s="865">
        <f>M6*$H$5</f>
        <v>70.980392699999996</v>
      </c>
      <c r="M6" s="866">
        <f>'3.1 Model Assumptions &amp; Inputs'!$D$7</f>
        <v>0.3</v>
      </c>
      <c r="N6" s="867"/>
      <c r="O6" s="868">
        <f ca="1">SUM(O10:O59)</f>
        <v>70.98039270000001</v>
      </c>
      <c r="P6" s="865">
        <f>Q6*$H$5</f>
        <v>23.660130899999999</v>
      </c>
      <c r="Q6" s="866">
        <f>'3.1 Model Assumptions &amp; Inputs'!$D$8</f>
        <v>0.1</v>
      </c>
      <c r="R6" s="869"/>
      <c r="S6" s="869"/>
      <c r="T6" s="870">
        <f>SUM(T10:T59)</f>
        <v>23.660130899999995</v>
      </c>
      <c r="U6" s="865">
        <f>V6*$H$5</f>
        <v>35.490196349999998</v>
      </c>
      <c r="V6" s="866">
        <f>'3.1 Model Assumptions &amp; Inputs'!$D$9</f>
        <v>0.15</v>
      </c>
      <c r="W6" s="869"/>
      <c r="X6" s="870">
        <f ca="1">SUM(X10:X59)</f>
        <v>35.490196349999998</v>
      </c>
      <c r="Y6" s="865">
        <f>Z6*$H$5</f>
        <v>23.660130899999999</v>
      </c>
      <c r="Z6" s="866">
        <f>'3.1 Model Assumptions &amp; Inputs'!$D$10</f>
        <v>0.1</v>
      </c>
      <c r="AA6" s="871"/>
      <c r="AB6" s="872">
        <f ca="1">SUM(AB10:AB59)</f>
        <v>23.660130900000013</v>
      </c>
      <c r="AC6" s="912">
        <f>AD6*$H$5</f>
        <v>23.660130899999999</v>
      </c>
      <c r="AD6" s="866">
        <f>'3.1 Model Assumptions &amp; Inputs'!$D$11</f>
        <v>0.1</v>
      </c>
      <c r="AE6" s="869"/>
      <c r="AF6" s="869"/>
      <c r="AG6" s="870">
        <f>SUM(AG10:AG59)</f>
        <v>23.660130899999992</v>
      </c>
    </row>
    <row r="7" spans="1:36" ht="54" customHeight="1" thickBot="1" x14ac:dyDescent="0.4">
      <c r="B7" s="692"/>
      <c r="C7" s="693"/>
      <c r="D7" s="693"/>
      <c r="E7" s="693"/>
      <c r="F7" s="676" t="s">
        <v>10</v>
      </c>
      <c r="G7" s="677" t="s">
        <v>499</v>
      </c>
      <c r="H7" s="676" t="s">
        <v>500</v>
      </c>
      <c r="I7" s="440" t="s">
        <v>501</v>
      </c>
      <c r="J7" s="440" t="s">
        <v>502</v>
      </c>
      <c r="K7" s="677" t="s">
        <v>503</v>
      </c>
      <c r="L7" s="676" t="s">
        <v>504</v>
      </c>
      <c r="M7" s="440" t="s">
        <v>505</v>
      </c>
      <c r="N7" s="440" t="s">
        <v>502</v>
      </c>
      <c r="O7" s="677" t="s">
        <v>506</v>
      </c>
      <c r="P7" s="1056" t="s">
        <v>507</v>
      </c>
      <c r="Q7" s="1057"/>
      <c r="R7" s="1057"/>
      <c r="S7" s="440" t="s">
        <v>508</v>
      </c>
      <c r="T7" s="677" t="s">
        <v>509</v>
      </c>
      <c r="U7" s="1057"/>
      <c r="V7" s="1057"/>
      <c r="W7" s="1057"/>
      <c r="X7" s="677" t="s">
        <v>510</v>
      </c>
      <c r="Y7" s="1056" t="s">
        <v>1235</v>
      </c>
      <c r="Z7" s="1057"/>
      <c r="AA7" s="1057"/>
      <c r="AB7" s="677" t="s">
        <v>511</v>
      </c>
      <c r="AC7" s="1056" t="s">
        <v>512</v>
      </c>
      <c r="AD7" s="1057"/>
      <c r="AE7" s="1057"/>
      <c r="AF7" s="440" t="s">
        <v>513</v>
      </c>
      <c r="AG7" s="677" t="s">
        <v>514</v>
      </c>
      <c r="AH7" s="1041" t="s">
        <v>515</v>
      </c>
    </row>
    <row r="8" spans="1:36" ht="14.65" customHeight="1" thickBot="1" x14ac:dyDescent="0.4">
      <c r="B8" s="692"/>
      <c r="C8" s="693"/>
      <c r="D8" s="693"/>
      <c r="E8" s="693"/>
      <c r="F8" s="1044" t="s">
        <v>516</v>
      </c>
      <c r="G8" s="1045"/>
      <c r="H8" s="1046" t="s">
        <v>517</v>
      </c>
      <c r="I8" s="1047"/>
      <c r="J8" s="1047"/>
      <c r="K8" s="1048"/>
      <c r="L8" s="1046" t="s">
        <v>517</v>
      </c>
      <c r="M8" s="1047"/>
      <c r="N8" s="1047"/>
      <c r="O8" s="1048"/>
      <c r="P8" s="1046" t="s">
        <v>517</v>
      </c>
      <c r="Q8" s="1047"/>
      <c r="R8" s="1047"/>
      <c r="S8" s="1047"/>
      <c r="T8" s="1048"/>
      <c r="U8" s="1049"/>
      <c r="V8" s="1049"/>
      <c r="W8" s="1049"/>
      <c r="X8" s="1050"/>
      <c r="Y8" s="1051" t="s">
        <v>518</v>
      </c>
      <c r="Z8" s="1049"/>
      <c r="AA8" s="1049"/>
      <c r="AB8" s="1050"/>
      <c r="AC8" s="1051" t="s">
        <v>519</v>
      </c>
      <c r="AD8" s="1049"/>
      <c r="AE8" s="1049"/>
      <c r="AF8" s="1049"/>
      <c r="AG8" s="1050"/>
      <c r="AH8" s="1042"/>
    </row>
    <row r="9" spans="1:36" ht="16.5" customHeight="1" thickBot="1" x14ac:dyDescent="0.4">
      <c r="B9" s="694" t="s">
        <v>568</v>
      </c>
      <c r="C9" s="695" t="s">
        <v>462</v>
      </c>
      <c r="D9" s="695" t="s">
        <v>441</v>
      </c>
      <c r="E9" s="699" t="s">
        <v>0</v>
      </c>
      <c r="F9" s="700" t="s">
        <v>10</v>
      </c>
      <c r="G9" s="701" t="s">
        <v>499</v>
      </c>
      <c r="H9" s="696" t="s">
        <v>520</v>
      </c>
      <c r="I9" s="697" t="s">
        <v>521</v>
      </c>
      <c r="J9" s="697" t="s">
        <v>522</v>
      </c>
      <c r="K9" s="698" t="s">
        <v>523</v>
      </c>
      <c r="L9" s="696" t="s">
        <v>520</v>
      </c>
      <c r="M9" s="697" t="s">
        <v>521</v>
      </c>
      <c r="N9" s="697" t="s">
        <v>522</v>
      </c>
      <c r="O9" s="698" t="s">
        <v>523</v>
      </c>
      <c r="P9" s="696" t="s">
        <v>520</v>
      </c>
      <c r="Q9" s="697" t="s">
        <v>524</v>
      </c>
      <c r="R9" s="697" t="s">
        <v>522</v>
      </c>
      <c r="S9" s="1052" t="s">
        <v>516</v>
      </c>
      <c r="T9" s="1053"/>
      <c r="U9" s="441" t="s">
        <v>520</v>
      </c>
      <c r="V9" s="441" t="s">
        <v>521</v>
      </c>
      <c r="W9" s="441" t="s">
        <v>522</v>
      </c>
      <c r="X9" s="679" t="s">
        <v>523</v>
      </c>
      <c r="Y9" s="678" t="s">
        <v>520</v>
      </c>
      <c r="Z9" s="441" t="s">
        <v>521</v>
      </c>
      <c r="AA9" s="441" t="s">
        <v>522</v>
      </c>
      <c r="AB9" s="679" t="s">
        <v>523</v>
      </c>
      <c r="AC9" s="678" t="s">
        <v>520</v>
      </c>
      <c r="AD9" s="441" t="s">
        <v>524</v>
      </c>
      <c r="AE9" s="441" t="s">
        <v>522</v>
      </c>
      <c r="AF9" s="1054" t="s">
        <v>516</v>
      </c>
      <c r="AG9" s="1055"/>
      <c r="AH9" s="1043"/>
      <c r="AI9" s="265" t="s">
        <v>1254</v>
      </c>
      <c r="AJ9" s="265" t="s">
        <v>1255</v>
      </c>
    </row>
    <row r="10" spans="1:36" ht="18" customHeight="1" x14ac:dyDescent="0.35">
      <c r="B10" s="442">
        <f>INDEX('NPS with launch Dates '!$J$6:$J$59,MATCH('3.2 Model Logic'!$E10,'NPS with launch Dates '!$I$6:$I$59,0))</f>
        <v>44409</v>
      </c>
      <c r="C10" s="443" t="str">
        <f>INDEX('Raw Forecasting NPS Data'!$D$6:$D$166,MATCH('3.2 Model Logic'!$E10,'Raw Forecasting NPS Data'!$I$6:$I$166,0))</f>
        <v>RCC</v>
      </c>
      <c r="D10" s="443" t="str">
        <f>INDEX('MCODE Final Mapping'!$E$6:$E$76,MATCH('3.2 Model Logic'!$E10,'MCODE Final Mapping'!$D$6:$D$76,0))</f>
        <v>PROMO-US-2024 KEYTRUDA ADJUVANT RCC</v>
      </c>
      <c r="E10" s="683" t="s">
        <v>351</v>
      </c>
      <c r="F10" s="702" t="str">
        <f>INDEX('2.  Sales Data Key &amp; Key-Lyn'!$D$7:$D$60,MATCH('3.2 Model Logic'!$E10,'2.  Sales Data Key &amp; Key-Lyn'!$C$7:$C$60,0))</f>
        <v>Established</v>
      </c>
      <c r="G10" s="703"/>
      <c r="H10" s="959">
        <f>IF(INDEX('2.  Sales Data Key &amp; Key-Lyn'!$W$7:$W$60,MATCH('3.2 Model Logic'!$E10,'2.  Sales Data Key &amp; Key-Lyn'!$C$7:$C$60,0))="-",0,INDEX('2.  Sales Data Key &amp; Key-Lyn'!$W$7:$W$60,MATCH('3.2 Model Logic'!$E10,'2.  Sales Data Key &amp; Key-Lyn'!$C$7:$C$60,0)))</f>
        <v>490.77365497431526</v>
      </c>
      <c r="I10" s="444">
        <f t="shared" ref="I10:I41" si="0">+H10/MAX(H$10:H$59)</f>
        <v>0.17727284071653976</v>
      </c>
      <c r="J10" s="445">
        <f t="shared" ref="J10:J41" ca="1" si="1">FORECAST(I10,OFFSET(V1_Ys,MATCH(I10,V1_Xs,1)-1,0,2), OFFSET(V1_Xs,MATCH(I10,V1_Xs,1)-1,0,2))</f>
        <v>0.17551766407578195</v>
      </c>
      <c r="K10" s="873">
        <f t="shared" ref="K10:K41" ca="1" si="2">+J10/SUM($J$10:$J$59)*$H$6</f>
        <v>2.1923768805103023</v>
      </c>
      <c r="L10" s="680">
        <f>SUMIFS('1. NPS Key &amp; Key-Lyn'!$AH$6:$AH$120,'1. NPS Key &amp; Key-Lyn'!$H$6:$H$120,'3.2 Model Logic'!$E10)</f>
        <v>451376487.85891247</v>
      </c>
      <c r="M10" s="444">
        <f>+L10/MAX(L$10:L$59)</f>
        <v>0.37188556123294542</v>
      </c>
      <c r="N10" s="445">
        <f t="shared" ref="N10:N59" ca="1" si="3">FORECAST(M10,OFFSET(V4_Ys,MATCH(M10,V4_Xs,1)-1,0,2), OFFSET(V4_Xs,MATCH(M10,V4_Xs,1)-1,0,2))</f>
        <v>0.36820352597321337</v>
      </c>
      <c r="O10" s="873">
        <f t="shared" ref="O10:O41" ca="1" si="4">+N10/SUM($N$10:$N$59)*$L$6</f>
        <v>3.8471167088545459</v>
      </c>
      <c r="P10" s="686" t="str">
        <f>IFERROR(INDEX('3.1 Model Assumptions &amp; Inputs'!$F$21:$F$70,MATCH('3.2 Model Logic'!$E10,'3.1 Model Assumptions &amp; Inputs'!$B$21:$B$70,0)),"Low")</f>
        <v>High</v>
      </c>
      <c r="Q10" s="446">
        <v>1</v>
      </c>
      <c r="R10" s="447">
        <f>IFERROR(VLOOKUP(P10,V7_XYs,2,FALSE),"Error")</f>
        <v>1</v>
      </c>
      <c r="S10" s="446">
        <f>+R10*Q10</f>
        <v>1</v>
      </c>
      <c r="T10" s="873">
        <f>+S10/SUM($S$10:$S$59)*$P$6</f>
        <v>1.6205569109589042</v>
      </c>
      <c r="U10" s="444">
        <f>IFERROR(INDEX('3.1 Model Assumptions &amp; Inputs'!$L$21:$L$70,MATCH('3.2 Model Logic'!$E10,'3.1 Model Assumptions &amp; Inputs'!$B$21:$B$70,0)),0)</f>
        <v>0</v>
      </c>
      <c r="V10" s="446">
        <f>+U10/MAX(U$10:U$59)</f>
        <v>0</v>
      </c>
      <c r="W10" s="445">
        <f t="shared" ref="W10:W39" ca="1" si="5">FORECAST(V10,OFFSET(V14_Ys,MATCH(V10,V14_Xs,1)-1,0,2), OFFSET(V14_Xs,MATCH(V10,V14_Xs,1)-1,0,2))</f>
        <v>0</v>
      </c>
      <c r="X10" s="873">
        <f t="shared" ref="X10:X41" ca="1" si="6">+W10/SUM($W$10:$W$59)*$U$6</f>
        <v>0</v>
      </c>
      <c r="Y10" s="689">
        <f>INDEX('3.1 Model Assumptions &amp; Inputs'!$R$21:$R$70,MATCH('3.2 Model Logic'!$E10,'3.1 Model Assumptions &amp; Inputs'!$B$21:$B$70,0))</f>
        <v>2</v>
      </c>
      <c r="Z10" s="446">
        <f>+Y10/MAX(Y$10:Y$59)</f>
        <v>0.5</v>
      </c>
      <c r="AA10" s="445">
        <f t="shared" ref="AA10:AA41" ca="1" si="7">FORECAST(Z10,OFFSET(V11_Ys,MATCH(Z10,V11_Xs,1)-1,0,2), OFFSET(V11_Xs,MATCH(Z10,V11_Xs,1)-1,0,2))</f>
        <v>0.4950495049504951</v>
      </c>
      <c r="AB10" s="873">
        <f ca="1">+AA10/SUM($AA$10:$AA$59)*$Y$6</f>
        <v>0.53168833483146083</v>
      </c>
      <c r="AC10" s="686" t="str">
        <f>SUBSTITUTE(INDEX('3.1 Model Assumptions &amp; Inputs'!$E$21:$E$70,MATCH('3.2 Model Logic'!$E10,'3.1 Model Assumptions &amp; Inputs'!$B$21:$B$70,0)),"Base","Low")</f>
        <v>High</v>
      </c>
      <c r="AD10" s="444">
        <f>1/COUNTIF($D$10:$D$59,D10)</f>
        <v>1</v>
      </c>
      <c r="AE10" s="447">
        <f t="shared" ref="AE10:AE39" si="8">IFERROR(VLOOKUP(AC10,V12_XYs,2,FALSE),"Error")</f>
        <v>1</v>
      </c>
      <c r="AF10" s="446">
        <f>+AE10*AD10</f>
        <v>1</v>
      </c>
      <c r="AG10" s="873">
        <f>+AF10/SUM($AF$10:$AF$59)*$AC$6</f>
        <v>3.1610061322645273</v>
      </c>
      <c r="AH10" s="876">
        <f t="shared" ref="AH10:AH41" ca="1" si="9">+K10+O10+T10+X10+AB10+AG10</f>
        <v>11.35274496741974</v>
      </c>
      <c r="AI10" s="953">
        <f ca="1">AH10/SUM($AH$10:$AH$59)</f>
        <v>4.7982595765857484E-2</v>
      </c>
      <c r="AJ10" s="954">
        <f ca="1">AH10/SUMIFS($AH$10:$AH$59,$D$10:$D$59,$D10)</f>
        <v>1</v>
      </c>
    </row>
    <row r="11" spans="1:36" x14ac:dyDescent="0.35">
      <c r="B11" s="897">
        <f>INDEX('NPS with launch Dates '!$J$6:$J$59,MATCH('3.2 Model Logic'!$E11,'NPS with launch Dates '!$I$6:$I$59,0))</f>
        <v>45672</v>
      </c>
      <c r="C11" s="898" t="str">
        <f>INDEX('Raw Forecasting NPS Data'!$D$6:$D$166,MATCH('3.2 Model Logic'!$E11,'Raw Forecasting NPS Data'!$I$6:$I$166,0))</f>
        <v>MIBC</v>
      </c>
      <c r="D11" s="898" t="str">
        <f>INDEX('MCODE Final Mapping'!$E$6:$E$76,MATCH('3.2 Model Logic'!$E11,'MCODE Final Mapping'!$D$6:$D$76,0))</f>
        <v>PROMO-US-2024 KEYTRUDA BLAD - MIBC</v>
      </c>
      <c r="E11" s="899" t="s">
        <v>348</v>
      </c>
      <c r="F11" s="900" t="str">
        <f>INDEX('2.  Sales Data Key &amp; Key-Lyn'!$D$7:$D$60,MATCH('3.2 Model Logic'!$E11,'2.  Sales Data Key &amp; Key-Lyn'!$C$7:$C$60,0))</f>
        <v>Planning Year</v>
      </c>
      <c r="G11" s="901"/>
      <c r="H11" s="960">
        <f>IF(INDEX('2.  Sales Data Key &amp; Key-Lyn'!$W$7:$W$60,MATCH('3.2 Model Logic'!$E11,'2.  Sales Data Key &amp; Key-Lyn'!$C$7:$C$60,0))="-",0,INDEX('2.  Sales Data Key &amp; Key-Lyn'!$W$7:$W$60,MATCH('3.2 Model Logic'!$E11,'2.  Sales Data Key &amp; Key-Lyn'!$C$7:$C$60,0)))</f>
        <v>121.04648899999999</v>
      </c>
      <c r="I11" s="902">
        <f t="shared" si="0"/>
        <v>4.3723322852194262E-2</v>
      </c>
      <c r="J11" s="903">
        <f t="shared" ca="1" si="1"/>
        <v>4.3290418665538878E-2</v>
      </c>
      <c r="K11" s="904">
        <f t="shared" ca="1" si="2"/>
        <v>0.54073710204439018</v>
      </c>
      <c r="L11" s="905">
        <f>SUMIFS('1. NPS Key &amp; Key-Lyn'!$AH$6:$AH$120,'1. NPS Key &amp; Key-Lyn'!$H$6:$H$120,'3.2 Model Logic'!$E11)</f>
        <v>204675683.71034592</v>
      </c>
      <c r="M11" s="902">
        <f t="shared" ref="M11:M59" si="10">+L11/MAX(L$10:L$59)</f>
        <v>0.16863069644679965</v>
      </c>
      <c r="N11" s="903">
        <f t="shared" ca="1" si="3"/>
        <v>0.16696108559089085</v>
      </c>
      <c r="O11" s="904">
        <f t="shared" ca="1" si="4"/>
        <v>1.7444666788767758</v>
      </c>
      <c r="P11" s="906" t="str">
        <f>IFERROR(INDEX('3.1 Model Assumptions &amp; Inputs'!$F$21:$F$70,MATCH('3.2 Model Logic'!$E11,'3.1 Model Assumptions &amp; Inputs'!$B$21:$B$70,0)),"Low")</f>
        <v>Medium</v>
      </c>
      <c r="Q11" s="907">
        <v>1</v>
      </c>
      <c r="R11" s="908">
        <f t="shared" ref="R11:R39" si="11">IFERROR(VLOOKUP(P11,V7_XYs,2,FALSE),"Error")</f>
        <v>0.6</v>
      </c>
      <c r="S11" s="907">
        <f t="shared" ref="S11:S39" si="12">+R11*Q11</f>
        <v>0.6</v>
      </c>
      <c r="T11" s="904">
        <f t="shared" ref="T11:T59" si="13">+S11/SUM($S$10:$S$59)*$P$6</f>
        <v>0.97233414657534256</v>
      </c>
      <c r="U11" s="902">
        <f>IFERROR(INDEX('3.1 Model Assumptions &amp; Inputs'!$L$21:$L$70,MATCH('3.2 Model Logic'!$E11,'3.1 Model Assumptions &amp; Inputs'!$B$21:$B$70,0)),0)</f>
        <v>0.5</v>
      </c>
      <c r="V11" s="907">
        <f t="shared" ref="V11:V59" si="14">+U11/MAX(U$10:U$59)</f>
        <v>0.5</v>
      </c>
      <c r="W11" s="903">
        <f t="shared" ca="1" si="5"/>
        <v>0.49504950495049505</v>
      </c>
      <c r="X11" s="904">
        <f t="shared" ca="1" si="6"/>
        <v>2.7300151038461533</v>
      </c>
      <c r="Y11" s="909">
        <f>INDEX('3.1 Model Assumptions &amp; Inputs'!$R$21:$R$70,MATCH('3.2 Model Logic'!$E11,'3.1 Model Assumptions &amp; Inputs'!$B$21:$B$70,0))</f>
        <v>3</v>
      </c>
      <c r="Z11" s="907">
        <f t="shared" ref="Z11:Z59" si="15">+Y11/MAX(Y$10:Y$59)</f>
        <v>0.75</v>
      </c>
      <c r="AA11" s="903">
        <f t="shared" ca="1" si="7"/>
        <v>0.74257425742574257</v>
      </c>
      <c r="AB11" s="904">
        <f t="shared" ref="AB11:AB59" ca="1" si="16">+AA11/SUM($AA$10:$AA$59)*$Y$6</f>
        <v>0.79753250224719108</v>
      </c>
      <c r="AC11" s="906" t="str">
        <f>SUBSTITUTE(INDEX('3.1 Model Assumptions &amp; Inputs'!$E$21:$E$70,MATCH('3.2 Model Logic'!$E11,'3.1 Model Assumptions &amp; Inputs'!$B$21:$B$70,0)),"Base","Low")</f>
        <v>Medium</v>
      </c>
      <c r="AD11" s="902">
        <f t="shared" ref="AD11:AD59" si="17">1/COUNTIF($D$10:$D$59,D11)</f>
        <v>0.33333333333333331</v>
      </c>
      <c r="AE11" s="908">
        <f t="shared" si="8"/>
        <v>0.5</v>
      </c>
      <c r="AF11" s="907">
        <f t="shared" ref="AF11:AF39" si="18">+AE11*AD11</f>
        <v>0.16666666666666666</v>
      </c>
      <c r="AG11" s="904">
        <f t="shared" ref="AG11:AG59" si="19">+AF11/SUM($AF$10:$AF$59)*$AC$6</f>
        <v>0.52683435537742118</v>
      </c>
      <c r="AH11" s="910">
        <f t="shared" ca="1" si="9"/>
        <v>7.3119198889672736</v>
      </c>
      <c r="AI11" s="955">
        <f t="shared" ref="AI11:AI59" ca="1" si="20">AH11/SUM($AH$10:$AH$59)</f>
        <v>3.0903970564961126E-2</v>
      </c>
      <c r="AJ11" s="956">
        <f t="shared" ref="AJ11:AJ59" ca="1" si="21">AH11/SUMIFS($AH$10:$AH$59,$D$10:$D$59,$D11)</f>
        <v>0.72550578813206745</v>
      </c>
    </row>
    <row r="12" spans="1:36" x14ac:dyDescent="0.35">
      <c r="B12" s="897">
        <f>INDEX('NPS with launch Dates '!$J$6:$J$59,MATCH('3.2 Model Logic'!$E12,'NPS with launch Dates '!$I$6:$I$59,0))</f>
        <v>45871</v>
      </c>
      <c r="C12" s="898" t="str">
        <f>INDEX('Raw Forecasting NPS Data'!$D$6:$D$166,MATCH('3.2 Model Logic'!$E12,'Raw Forecasting NPS Data'!$I$6:$I$166,0))</f>
        <v>MIBC</v>
      </c>
      <c r="D12" s="898" t="str">
        <f>INDEX('MCODE Final Mapping'!$E$6:$E$76,MATCH('3.2 Model Logic'!$E12,'MCODE Final Mapping'!$D$6:$D$76,0))</f>
        <v>PROMO-US-2024 KEYTRUDA BLAD - MIBC</v>
      </c>
      <c r="E12" s="899" t="s">
        <v>349</v>
      </c>
      <c r="F12" s="900" t="str">
        <f>INDEX('2.  Sales Data Key &amp; Key-Lyn'!$D$7:$D$60,MATCH('3.2 Model Logic'!$E12,'2.  Sales Data Key &amp; Key-Lyn'!$C$7:$C$60,0))</f>
        <v>Future Launch</v>
      </c>
      <c r="G12" s="901"/>
      <c r="H12" s="960">
        <f>IF(INDEX('2.  Sales Data Key &amp; Key-Lyn'!$W$7:$W$60,MATCH('3.2 Model Logic'!$E12,'2.  Sales Data Key &amp; Key-Lyn'!$C$7:$C$60,0))="-",0,INDEX('2.  Sales Data Key &amp; Key-Lyn'!$W$7:$W$60,MATCH('3.2 Model Logic'!$E12,'2.  Sales Data Key &amp; Key-Lyn'!$C$7:$C$60,0)))</f>
        <v>2.3611118999999996</v>
      </c>
      <c r="I12" s="902">
        <f t="shared" si="0"/>
        <v>8.5285958103136557E-4</v>
      </c>
      <c r="J12" s="903">
        <f t="shared" ca="1" si="1"/>
        <v>8.4441542676372825E-4</v>
      </c>
      <c r="K12" s="904">
        <f t="shared" ca="1" si="2"/>
        <v>1.0547524483824752E-2</v>
      </c>
      <c r="L12" s="905">
        <f>SUMIFS('1. NPS Key &amp; Key-Lyn'!$AH$6:$AH$120,'1. NPS Key &amp; Key-Lyn'!$H$6:$H$120,'3.2 Model Logic'!$E12)</f>
        <v>8342846.6724370886</v>
      </c>
      <c r="M12" s="902">
        <f t="shared" si="10"/>
        <v>6.8736061813424757E-3</v>
      </c>
      <c r="N12" s="903">
        <f t="shared" ca="1" si="3"/>
        <v>6.8055506745965102E-3</v>
      </c>
      <c r="O12" s="904">
        <f t="shared" ca="1" si="4"/>
        <v>7.1106727302500825E-2</v>
      </c>
      <c r="P12" s="906" t="str">
        <f>IFERROR(INDEX('3.1 Model Assumptions &amp; Inputs'!$F$21:$F$70,MATCH('3.2 Model Logic'!$E12,'3.1 Model Assumptions &amp; Inputs'!$B$21:$B$70,0)),"Low")</f>
        <v>Low</v>
      </c>
      <c r="Q12" s="907">
        <v>1</v>
      </c>
      <c r="R12" s="908">
        <f t="shared" si="11"/>
        <v>0</v>
      </c>
      <c r="S12" s="907">
        <f t="shared" si="12"/>
        <v>0</v>
      </c>
      <c r="T12" s="904">
        <f t="shared" si="13"/>
        <v>0</v>
      </c>
      <c r="U12" s="902">
        <f>IFERROR(INDEX('3.1 Model Assumptions &amp; Inputs'!$L$21:$L$70,MATCH('3.2 Model Logic'!$E12,'3.1 Model Assumptions &amp; Inputs'!$B$21:$B$70,0)),0)</f>
        <v>0</v>
      </c>
      <c r="V12" s="907">
        <f t="shared" si="14"/>
        <v>0</v>
      </c>
      <c r="W12" s="903">
        <f t="shared" ca="1" si="5"/>
        <v>0</v>
      </c>
      <c r="X12" s="904">
        <f t="shared" ca="1" si="6"/>
        <v>0</v>
      </c>
      <c r="Y12" s="909">
        <f>INDEX('3.1 Model Assumptions &amp; Inputs'!$R$21:$R$70,MATCH('3.2 Model Logic'!$E12,'3.1 Model Assumptions &amp; Inputs'!$B$21:$B$70,0))</f>
        <v>3</v>
      </c>
      <c r="Z12" s="907">
        <f t="shared" si="15"/>
        <v>0.75</v>
      </c>
      <c r="AA12" s="903">
        <f t="shared" ca="1" si="7"/>
        <v>0.74257425742574257</v>
      </c>
      <c r="AB12" s="904">
        <f t="shared" ca="1" si="16"/>
        <v>0.79753250224719108</v>
      </c>
      <c r="AC12" s="906" t="str">
        <f>SUBSTITUTE(INDEX('3.1 Model Assumptions &amp; Inputs'!$E$21:$E$70,MATCH('3.2 Model Logic'!$E12,'3.1 Model Assumptions &amp; Inputs'!$B$21:$B$70,0)),"Base","Low")</f>
        <v>Medium</v>
      </c>
      <c r="AD12" s="902">
        <f t="shared" si="17"/>
        <v>0.33333333333333331</v>
      </c>
      <c r="AE12" s="908">
        <f t="shared" si="8"/>
        <v>0.5</v>
      </c>
      <c r="AF12" s="907">
        <f t="shared" si="18"/>
        <v>0.16666666666666666</v>
      </c>
      <c r="AG12" s="904">
        <f t="shared" si="19"/>
        <v>0.52683435537742118</v>
      </c>
      <c r="AH12" s="910">
        <f t="shared" ca="1" si="9"/>
        <v>1.4060211094109378</v>
      </c>
      <c r="AI12" s="955">
        <f t="shared" ca="1" si="20"/>
        <v>5.9425753617066319E-3</v>
      </c>
      <c r="AJ12" s="956">
        <f t="shared" ca="1" si="21"/>
        <v>0.13950870203770527</v>
      </c>
    </row>
    <row r="13" spans="1:36" x14ac:dyDescent="0.35">
      <c r="B13" s="897">
        <f>INDEX('NPS with launch Dates '!$J$6:$J$59,MATCH('3.2 Model Logic'!$E13,'NPS with launch Dates '!$I$6:$I$59,0))</f>
        <v>45963</v>
      </c>
      <c r="C13" s="898" t="str">
        <f>INDEX('Raw Forecasting NPS Data'!$D$6:$D$166,MATCH('3.2 Model Logic'!$E13,'Raw Forecasting NPS Data'!$I$6:$I$166,0))</f>
        <v>MIBC</v>
      </c>
      <c r="D13" s="898" t="str">
        <f>INDEX('MCODE Final Mapping'!$E$6:$E$76,MATCH('3.2 Model Logic'!$E13,'MCODE Final Mapping'!$D$6:$D$76,0))</f>
        <v>PROMO-US-2024 KEYTRUDA BLAD - MIBC</v>
      </c>
      <c r="E13" s="899" t="s">
        <v>350</v>
      </c>
      <c r="F13" s="900" t="str">
        <f>INDEX('2.  Sales Data Key &amp; Key-Lyn'!$D$7:$D$60,MATCH('3.2 Model Logic'!$E13,'2.  Sales Data Key &amp; Key-Lyn'!$C$7:$C$60,0))</f>
        <v>Future Launch</v>
      </c>
      <c r="G13" s="901"/>
      <c r="H13" s="960">
        <f>IF(INDEX('2.  Sales Data Key &amp; Key-Lyn'!$W$7:$W$60,MATCH('3.2 Model Logic'!$E13,'2.  Sales Data Key &amp; Key-Lyn'!$C$7:$C$60,0))="-",0,INDEX('2.  Sales Data Key &amp; Key-Lyn'!$W$7:$W$60,MATCH('3.2 Model Logic'!$E13,'2.  Sales Data Key &amp; Key-Lyn'!$C$7:$C$60,0)))</f>
        <v>0.54347719999999999</v>
      </c>
      <c r="I13" s="902">
        <f t="shared" si="0"/>
        <v>1.9630994070721499E-4</v>
      </c>
      <c r="J13" s="903">
        <f t="shared" ca="1" si="1"/>
        <v>1.9436627792793562E-4</v>
      </c>
      <c r="K13" s="904">
        <f t="shared" ca="1" si="2"/>
        <v>2.4278133846178667E-3</v>
      </c>
      <c r="L13" s="905">
        <f>SUMIFS('1. NPS Key &amp; Key-Lyn'!$AH$6:$AH$120,'1. NPS Key &amp; Key-Lyn'!$H$6:$H$120,'3.2 Model Logic'!$E13)</f>
        <v>3946932.168904705</v>
      </c>
      <c r="M13" s="902">
        <f t="shared" si="10"/>
        <v>3.2518465721242612E-3</v>
      </c>
      <c r="N13" s="903">
        <f t="shared" ca="1" si="3"/>
        <v>3.2196500714101596E-3</v>
      </c>
      <c r="O13" s="904">
        <f t="shared" ca="1" si="4"/>
        <v>3.3640008073382383E-2</v>
      </c>
      <c r="P13" s="906" t="str">
        <f>IFERROR(INDEX('3.1 Model Assumptions &amp; Inputs'!$F$21:$F$70,MATCH('3.2 Model Logic'!$E13,'3.1 Model Assumptions &amp; Inputs'!$B$21:$B$70,0)),"Low")</f>
        <v>Low</v>
      </c>
      <c r="Q13" s="907">
        <v>1</v>
      </c>
      <c r="R13" s="908">
        <f t="shared" si="11"/>
        <v>0</v>
      </c>
      <c r="S13" s="907">
        <f t="shared" si="12"/>
        <v>0</v>
      </c>
      <c r="T13" s="904">
        <f t="shared" si="13"/>
        <v>0</v>
      </c>
      <c r="U13" s="902">
        <f>IFERROR(INDEX('3.1 Model Assumptions &amp; Inputs'!$L$21:$L$70,MATCH('3.2 Model Logic'!$E13,'3.1 Model Assumptions &amp; Inputs'!$B$21:$B$70,0)),0)</f>
        <v>0</v>
      </c>
      <c r="V13" s="907">
        <f t="shared" si="14"/>
        <v>0</v>
      </c>
      <c r="W13" s="903">
        <f t="shared" ca="1" si="5"/>
        <v>0</v>
      </c>
      <c r="X13" s="904">
        <f t="shared" ca="1" si="6"/>
        <v>0</v>
      </c>
      <c r="Y13" s="909">
        <f>INDEX('3.1 Model Assumptions &amp; Inputs'!$R$21:$R$70,MATCH('3.2 Model Logic'!$E13,'3.1 Model Assumptions &amp; Inputs'!$B$21:$B$70,0))</f>
        <v>3</v>
      </c>
      <c r="Z13" s="907">
        <f t="shared" si="15"/>
        <v>0.75</v>
      </c>
      <c r="AA13" s="903">
        <f t="shared" ca="1" si="7"/>
        <v>0.74257425742574257</v>
      </c>
      <c r="AB13" s="904">
        <f t="shared" ca="1" si="16"/>
        <v>0.79753250224719108</v>
      </c>
      <c r="AC13" s="906" t="str">
        <f>SUBSTITUTE(INDEX('3.1 Model Assumptions &amp; Inputs'!$E$21:$E$70,MATCH('3.2 Model Logic'!$E13,'3.1 Model Assumptions &amp; Inputs'!$B$21:$B$70,0)),"Base","Low")</f>
        <v>Medium</v>
      </c>
      <c r="AD13" s="902">
        <f t="shared" si="17"/>
        <v>0.33333333333333331</v>
      </c>
      <c r="AE13" s="908">
        <f t="shared" si="8"/>
        <v>0.5</v>
      </c>
      <c r="AF13" s="907">
        <f t="shared" si="18"/>
        <v>0.16666666666666666</v>
      </c>
      <c r="AG13" s="904">
        <f t="shared" si="19"/>
        <v>0.52683435537742118</v>
      </c>
      <c r="AH13" s="910">
        <f t="shared" ca="1" si="9"/>
        <v>1.3604346790826125</v>
      </c>
      <c r="AI13" s="957">
        <f t="shared" ca="1" si="20"/>
        <v>5.7499034338927193E-3</v>
      </c>
      <c r="AJ13" s="957">
        <f t="shared" ca="1" si="21"/>
        <v>0.13498550983022739</v>
      </c>
    </row>
    <row r="14" spans="1:36" x14ac:dyDescent="0.35">
      <c r="B14" s="433">
        <f>INDEX('NPS with launch Dates '!$J$6:$J$59,MATCH('3.2 Model Logic'!$E14,'NPS with launch Dates '!$I$6:$I$59,0))</f>
        <v>45414</v>
      </c>
      <c r="C14" s="274" t="str">
        <f>INDEX('Raw Forecasting NPS Data'!$D$6:$D$166,MATCH('3.2 Model Logic'!$E14,'Raw Forecasting NPS Data'!$I$6:$I$166,0))</f>
        <v>Urothelial</v>
      </c>
      <c r="D14" s="274" t="str">
        <f>INDEX('MCODE Final Mapping'!$E$6:$E$76,MATCH('3.2 Model Logic'!$E14,'MCODE Final Mapping'!$D$6:$D$76,0))</f>
        <v>PROMO-US-2024 KEYTRUDA BLAD - mUC</v>
      </c>
      <c r="E14" s="684" t="s">
        <v>197</v>
      </c>
      <c r="F14" s="704" t="str">
        <f>INDEX('2.  Sales Data Key &amp; Key-Lyn'!$D$7:$D$60,MATCH('3.2 Model Logic'!$E14,'2.  Sales Data Key &amp; Key-Lyn'!$C$7:$C$60,0))</f>
        <v>Planning Year</v>
      </c>
      <c r="G14" s="705"/>
      <c r="H14" s="961">
        <f>IF(INDEX('2.  Sales Data Key &amp; Key-Lyn'!$W$7:$W$60,MATCH('3.2 Model Logic'!$E14,'2.  Sales Data Key &amp; Key-Lyn'!$C$7:$C$60,0))="-",0,INDEX('2.  Sales Data Key &amp; Key-Lyn'!$W$7:$W$60,MATCH('3.2 Model Logic'!$E14,'2.  Sales Data Key &amp; Key-Lyn'!$C$7:$C$60,0)))</f>
        <v>249.28770789550219</v>
      </c>
      <c r="I14" s="276">
        <f t="shared" si="0"/>
        <v>9.004546125578694E-2</v>
      </c>
      <c r="J14" s="277">
        <f t="shared" ca="1" si="1"/>
        <v>8.9153922035432612E-2</v>
      </c>
      <c r="K14" s="874">
        <f t="shared" ca="1" si="2"/>
        <v>1.1136143960582143</v>
      </c>
      <c r="L14" s="681">
        <f>SUMIFS('1. NPS Key &amp; Key-Lyn'!$AH$6:$AH$120,'1. NPS Key &amp; Key-Lyn'!$H$6:$H$120,'3.2 Model Logic'!$E14)</f>
        <v>429469831.42605245</v>
      </c>
      <c r="M14" s="276">
        <f t="shared" si="10"/>
        <v>0.35383683817934697</v>
      </c>
      <c r="N14" s="277">
        <f t="shared" ca="1" si="3"/>
        <v>0.35033350314786837</v>
      </c>
      <c r="O14" s="874">
        <f t="shared" ca="1" si="4"/>
        <v>3.6604045821379803</v>
      </c>
      <c r="P14" s="687" t="str">
        <f>IFERROR(INDEX('3.1 Model Assumptions &amp; Inputs'!$F$21:$F$70,MATCH('3.2 Model Logic'!$E14,'3.1 Model Assumptions &amp; Inputs'!$B$21:$B$70,0)),"Low")</f>
        <v>High</v>
      </c>
      <c r="Q14" s="275">
        <v>1</v>
      </c>
      <c r="R14" s="278">
        <f t="shared" si="11"/>
        <v>1</v>
      </c>
      <c r="S14" s="275">
        <f t="shared" si="12"/>
        <v>1</v>
      </c>
      <c r="T14" s="874">
        <f t="shared" si="13"/>
        <v>1.6205569109589042</v>
      </c>
      <c r="U14" s="276">
        <f>IFERROR(INDEX('3.1 Model Assumptions &amp; Inputs'!$L$21:$L$70,MATCH('3.2 Model Logic'!$E14,'3.1 Model Assumptions &amp; Inputs'!$B$21:$B$70,0)),0)</f>
        <v>0.75</v>
      </c>
      <c r="V14" s="275">
        <f t="shared" si="14"/>
        <v>0.75</v>
      </c>
      <c r="W14" s="277">
        <f t="shared" ca="1" si="5"/>
        <v>0.74257425742574268</v>
      </c>
      <c r="X14" s="874">
        <f t="shared" ca="1" si="6"/>
        <v>4.0950226557692311</v>
      </c>
      <c r="Y14" s="690">
        <f>INDEX('3.1 Model Assumptions &amp; Inputs'!$R$21:$R$70,MATCH('3.2 Model Logic'!$E14,'3.1 Model Assumptions &amp; Inputs'!$B$21:$B$70,0))</f>
        <v>1</v>
      </c>
      <c r="Z14" s="275">
        <f t="shared" si="15"/>
        <v>0.25</v>
      </c>
      <c r="AA14" s="277">
        <f t="shared" ca="1" si="7"/>
        <v>0.24752475247524761</v>
      </c>
      <c r="AB14" s="874">
        <f t="shared" ca="1" si="16"/>
        <v>0.26584416741573047</v>
      </c>
      <c r="AC14" s="687" t="str">
        <f>SUBSTITUTE(INDEX('3.1 Model Assumptions &amp; Inputs'!$E$21:$E$70,MATCH('3.2 Model Logic'!$E14,'3.1 Model Assumptions &amp; Inputs'!$B$21:$B$70,0)),"Base","Low")</f>
        <v>Medium</v>
      </c>
      <c r="AD14" s="276">
        <f t="shared" si="17"/>
        <v>0.33333333333333331</v>
      </c>
      <c r="AE14" s="278">
        <f t="shared" si="8"/>
        <v>0.5</v>
      </c>
      <c r="AF14" s="275">
        <f t="shared" si="18"/>
        <v>0.16666666666666666</v>
      </c>
      <c r="AG14" s="874">
        <f t="shared" si="19"/>
        <v>0.52683435537742118</v>
      </c>
      <c r="AH14" s="877">
        <f t="shared" ca="1" si="9"/>
        <v>11.282277067717482</v>
      </c>
      <c r="AI14" s="958">
        <f t="shared" ca="1" si="20"/>
        <v>4.7684761827405948E-2</v>
      </c>
      <c r="AJ14" s="958">
        <f t="shared" ca="1" si="21"/>
        <v>0.52741420119672977</v>
      </c>
    </row>
    <row r="15" spans="1:36" x14ac:dyDescent="0.35">
      <c r="B15" s="433">
        <f>INDEX('NPS with launch Dates '!$J$6:$J$59,MATCH('3.2 Model Logic'!$E15,'NPS with launch Dates '!$I$6:$I$59,0))</f>
        <v>45018</v>
      </c>
      <c r="C15" s="274" t="str">
        <f>INDEX('Raw Forecasting NPS Data'!$D$6:$D$166,MATCH('3.2 Model Logic'!$E15,'Raw Forecasting NPS Data'!$I$6:$I$166,0))</f>
        <v>Urothelial</v>
      </c>
      <c r="D15" s="274" t="str">
        <f>INDEX('MCODE Final Mapping'!$E$6:$E$76,MATCH('3.2 Model Logic'!$E15,'MCODE Final Mapping'!$D$6:$D$76,0))</f>
        <v>PROMO-US-2024 KEYTRUDA BLAD - mUC</v>
      </c>
      <c r="E15" s="684" t="s">
        <v>200</v>
      </c>
      <c r="F15" s="704" t="str">
        <f>INDEX('2.  Sales Data Key &amp; Key-Lyn'!$D$7:$D$60,MATCH('3.2 Model Logic'!$E15,'2.  Sales Data Key &amp; Key-Lyn'!$C$7:$C$60,0))</f>
        <v>Recent Launch</v>
      </c>
      <c r="G15" s="705"/>
      <c r="H15" s="961">
        <f>IF(INDEX('2.  Sales Data Key &amp; Key-Lyn'!$W$7:$W$60,MATCH('3.2 Model Logic'!$E15,'2.  Sales Data Key &amp; Key-Lyn'!$C$7:$C$60,0))="-",0,INDEX('2.  Sales Data Key &amp; Key-Lyn'!$W$7:$W$60,MATCH('3.2 Model Logic'!$E15,'2.  Sales Data Key &amp; Key-Lyn'!$C$7:$C$60,0)))</f>
        <v>317.11536518942216</v>
      </c>
      <c r="I15" s="276">
        <f t="shared" si="0"/>
        <v>0.11454555690226249</v>
      </c>
      <c r="J15" s="277">
        <f t="shared" ca="1" si="1"/>
        <v>0.11341144247748761</v>
      </c>
      <c r="K15" s="874">
        <f t="shared" ca="1" si="2"/>
        <v>1.416613112886542</v>
      </c>
      <c r="L15" s="681">
        <f>SUMIFS('1. NPS Key &amp; Key-Lyn'!$AH$6:$AH$120,'1. NPS Key &amp; Key-Lyn'!$H$6:$H$120,'3.2 Model Logic'!$E15)</f>
        <v>395877773.90048945</v>
      </c>
      <c r="M15" s="276">
        <f t="shared" si="10"/>
        <v>0.3261606044766997</v>
      </c>
      <c r="N15" s="277">
        <f t="shared" ca="1" si="3"/>
        <v>0.32293129156108891</v>
      </c>
      <c r="O15" s="874">
        <f t="shared" ca="1" si="4"/>
        <v>3.3740968783308847</v>
      </c>
      <c r="P15" s="687" t="str">
        <f>IFERROR(INDEX('3.1 Model Assumptions &amp; Inputs'!$F$21:$F$70,MATCH('3.2 Model Logic'!$E15,'3.1 Model Assumptions &amp; Inputs'!$B$21:$B$70,0)),"Low")</f>
        <v>High</v>
      </c>
      <c r="Q15" s="275">
        <v>1</v>
      </c>
      <c r="R15" s="278">
        <f t="shared" si="11"/>
        <v>1</v>
      </c>
      <c r="S15" s="275">
        <f t="shared" si="12"/>
        <v>1</v>
      </c>
      <c r="T15" s="874">
        <f t="shared" si="13"/>
        <v>1.6205569109589042</v>
      </c>
      <c r="U15" s="276">
        <f>IFERROR(INDEX('3.1 Model Assumptions &amp; Inputs'!$L$21:$L$70,MATCH('3.2 Model Logic'!$E15,'3.1 Model Assumptions &amp; Inputs'!$B$21:$B$70,0)),0)</f>
        <v>0</v>
      </c>
      <c r="V15" s="275">
        <f t="shared" si="14"/>
        <v>0</v>
      </c>
      <c r="W15" s="277">
        <f t="shared" ca="1" si="5"/>
        <v>0</v>
      </c>
      <c r="X15" s="874">
        <f t="shared" ca="1" si="6"/>
        <v>0</v>
      </c>
      <c r="Y15" s="690">
        <f>INDEX('3.1 Model Assumptions &amp; Inputs'!$R$21:$R$70,MATCH('3.2 Model Logic'!$E15,'3.1 Model Assumptions &amp; Inputs'!$B$21:$B$70,0))</f>
        <v>1</v>
      </c>
      <c r="Z15" s="275">
        <f t="shared" si="15"/>
        <v>0.25</v>
      </c>
      <c r="AA15" s="277">
        <f t="shared" ca="1" si="7"/>
        <v>0.24752475247524761</v>
      </c>
      <c r="AB15" s="874">
        <f t="shared" ca="1" si="16"/>
        <v>0.26584416741573047</v>
      </c>
      <c r="AC15" s="687" t="str">
        <f>SUBSTITUTE(INDEX('3.1 Model Assumptions &amp; Inputs'!$E$21:$E$70,MATCH('3.2 Model Logic'!$E15,'3.1 Model Assumptions &amp; Inputs'!$B$21:$B$70,0)),"Base","Low")</f>
        <v>Medium</v>
      </c>
      <c r="AD15" s="276">
        <f t="shared" si="17"/>
        <v>0.33333333333333331</v>
      </c>
      <c r="AE15" s="278">
        <f t="shared" si="8"/>
        <v>0.5</v>
      </c>
      <c r="AF15" s="275">
        <f t="shared" si="18"/>
        <v>0.16666666666666666</v>
      </c>
      <c r="AG15" s="874">
        <f t="shared" si="19"/>
        <v>0.52683435537742118</v>
      </c>
      <c r="AH15" s="877">
        <f t="shared" ca="1" si="9"/>
        <v>7.2039454249694828</v>
      </c>
      <c r="AI15" s="958">
        <f t="shared" ca="1" si="20"/>
        <v>3.044761440846247E-2</v>
      </c>
      <c r="AJ15" s="958">
        <f t="shared" ca="1" si="21"/>
        <v>0.33676385529005493</v>
      </c>
    </row>
    <row r="16" spans="1:36" s="267" customFormat="1" x14ac:dyDescent="0.35">
      <c r="B16" s="433">
        <f>INDEX('NPS with launch Dates '!$J$6:$J$59,MATCH('3.2 Model Logic'!$E16,'NPS with launch Dates '!$I$6:$I$59,0))</f>
        <v>43101</v>
      </c>
      <c r="C16" s="274" t="str">
        <f>INDEX('Raw Forecasting NPS Data'!$D$6:$D$166,MATCH('3.2 Model Logic'!$E16,'Raw Forecasting NPS Data'!$I$6:$I$166,0))</f>
        <v>Urothelial</v>
      </c>
      <c r="D16" s="274" t="str">
        <f>INDEX('MCODE Final Mapping'!$E$6:$E$76,MATCH('3.2 Model Logic'!$E16,'MCODE Final Mapping'!$D$6:$D$76,0))</f>
        <v>PROMO-US-2024 KEYTRUDA BLAD - mUC</v>
      </c>
      <c r="E16" s="684" t="s">
        <v>336</v>
      </c>
      <c r="F16" s="704" t="str">
        <f>INDEX('2.  Sales Data Key &amp; Key-Lyn'!$D$7:$D$60,MATCH('3.2 Model Logic'!$E16,'2.  Sales Data Key &amp; Key-Lyn'!$C$7:$C$60,0))</f>
        <v>Mature</v>
      </c>
      <c r="G16" s="706"/>
      <c r="H16" s="961">
        <f>IF(INDEX('2.  Sales Data Key &amp; Key-Lyn'!$W$7:$W$60,MATCH('3.2 Model Logic'!$E16,'2.  Sales Data Key &amp; Key-Lyn'!$C$7:$C$60,0))="-",0,INDEX('2.  Sales Data Key &amp; Key-Lyn'!$W$7:$W$60,MATCH('3.2 Model Logic'!$E16,'2.  Sales Data Key &amp; Key-Lyn'!$C$7:$C$60,0)))</f>
        <v>318.29631143171821</v>
      </c>
      <c r="I16" s="276">
        <f t="shared" si="0"/>
        <v>0.11497212767064716</v>
      </c>
      <c r="J16" s="277">
        <f t="shared" ca="1" si="1"/>
        <v>0.11383378977291797</v>
      </c>
      <c r="K16" s="874">
        <f t="shared" ca="1" si="2"/>
        <v>1.4218886186364808</v>
      </c>
      <c r="L16" s="681">
        <f>SUMIFS('1. NPS Key &amp; Key-Lyn'!$AH$6:$AH$120,'1. NPS Key &amp; Key-Lyn'!$H$6:$H$120,'3.2 Model Logic'!$E16)</f>
        <v>81061417.874029011</v>
      </c>
      <c r="M16" s="276">
        <f t="shared" si="10"/>
        <v>6.6785868762052683E-2</v>
      </c>
      <c r="N16" s="277">
        <f t="shared" ca="1" si="3"/>
        <v>6.6124622536685829E-2</v>
      </c>
      <c r="O16" s="874">
        <f t="shared" ca="1" si="4"/>
        <v>0.69089273264072615</v>
      </c>
      <c r="P16" s="687" t="str">
        <f>IFERROR(INDEX('3.1 Model Assumptions &amp; Inputs'!$F$21:$F$70,MATCH('3.2 Model Logic'!$E16,'3.1 Model Assumptions &amp; Inputs'!$B$21:$B$70,0)),"Low")</f>
        <v>Low</v>
      </c>
      <c r="Q16" s="275">
        <v>1</v>
      </c>
      <c r="R16" s="278">
        <f t="shared" si="11"/>
        <v>0</v>
      </c>
      <c r="S16" s="275">
        <f t="shared" si="12"/>
        <v>0</v>
      </c>
      <c r="T16" s="874">
        <f t="shared" si="13"/>
        <v>0</v>
      </c>
      <c r="U16" s="276">
        <f>IFERROR(INDEX('3.1 Model Assumptions &amp; Inputs'!$L$21:$L$70,MATCH('3.2 Model Logic'!$E16,'3.1 Model Assumptions &amp; Inputs'!$B$21:$B$70,0)),0)</f>
        <v>0</v>
      </c>
      <c r="V16" s="275">
        <f t="shared" si="14"/>
        <v>0</v>
      </c>
      <c r="W16" s="277">
        <f t="shared" ca="1" si="5"/>
        <v>0</v>
      </c>
      <c r="X16" s="874">
        <f t="shared" ca="1" si="6"/>
        <v>0</v>
      </c>
      <c r="Y16" s="690">
        <f>INDEX('3.1 Model Assumptions &amp; Inputs'!$R$21:$R$70,MATCH('3.2 Model Logic'!$E16,'3.1 Model Assumptions &amp; Inputs'!$B$21:$B$70,0))</f>
        <v>1</v>
      </c>
      <c r="Z16" s="275">
        <f t="shared" si="15"/>
        <v>0.25</v>
      </c>
      <c r="AA16" s="277">
        <f t="shared" ca="1" si="7"/>
        <v>0.24752475247524761</v>
      </c>
      <c r="AB16" s="874">
        <f t="shared" ca="1" si="16"/>
        <v>0.26584416741573047</v>
      </c>
      <c r="AC16" s="687" t="str">
        <f>SUBSTITUTE(INDEX('3.1 Model Assumptions &amp; Inputs'!$E$21:$E$70,MATCH('3.2 Model Logic'!$E16,'3.1 Model Assumptions &amp; Inputs'!$B$21:$B$70,0)),"Base","Low")</f>
        <v>Medium</v>
      </c>
      <c r="AD16" s="276">
        <f t="shared" si="17"/>
        <v>0.33333333333333331</v>
      </c>
      <c r="AE16" s="278">
        <f t="shared" si="8"/>
        <v>0.5</v>
      </c>
      <c r="AF16" s="275">
        <f t="shared" si="18"/>
        <v>0.16666666666666666</v>
      </c>
      <c r="AG16" s="874">
        <f t="shared" si="19"/>
        <v>0.52683435537742118</v>
      </c>
      <c r="AH16" s="877">
        <f t="shared" ca="1" si="9"/>
        <v>2.9054598740703588</v>
      </c>
      <c r="AI16" s="958">
        <f t="shared" ca="1" si="20"/>
        <v>1.2279982246718502E-2</v>
      </c>
      <c r="AJ16" s="958">
        <f t="shared" ca="1" si="21"/>
        <v>0.13582194351321539</v>
      </c>
    </row>
    <row r="17" spans="2:38" x14ac:dyDescent="0.35">
      <c r="B17" s="897">
        <f>INDEX('NPS with launch Dates '!$J$6:$J$59,MATCH('3.2 Model Logic'!$E17,'NPS with launch Dates '!$I$6:$I$59,0))</f>
        <v>45871</v>
      </c>
      <c r="C17" s="898" t="str">
        <f>INDEX('Raw Forecasting NPS Data'!$D$6:$D$166,MATCH('3.2 Model Logic'!$E17,'Raw Forecasting NPS Data'!$I$6:$I$166,0))</f>
        <v>NMIBC BCG Naïve</v>
      </c>
      <c r="D17" s="898" t="str">
        <f>INDEX('MCODE Final Mapping'!$E$6:$E$76,MATCH('3.2 Model Logic'!$E17,'MCODE Final Mapping'!$D$6:$D$76,0))</f>
        <v>PROMO-US-2024 KEYTRUDA BLAD -NMIBC</v>
      </c>
      <c r="E17" s="899" t="s">
        <v>222</v>
      </c>
      <c r="F17" s="900" t="str">
        <f>INDEX('2.  Sales Data Key &amp; Key-Lyn'!$D$7:$D$60,MATCH('3.2 Model Logic'!$E17,'2.  Sales Data Key &amp; Key-Lyn'!$C$7:$C$60,0))</f>
        <v>Future Launch</v>
      </c>
      <c r="G17" s="901"/>
      <c r="H17" s="960">
        <f>IF(INDEX('2.  Sales Data Key &amp; Key-Lyn'!$W$7:$W$60,MATCH('3.2 Model Logic'!$E17,'2.  Sales Data Key &amp; Key-Lyn'!$C$7:$C$60,0))="-",0,INDEX('2.  Sales Data Key &amp; Key-Lyn'!$W$7:$W$60,MATCH('3.2 Model Logic'!$E17,'2.  Sales Data Key &amp; Key-Lyn'!$C$7:$C$60,0)))</f>
        <v>18.019373820395206</v>
      </c>
      <c r="I17" s="902">
        <f t="shared" si="0"/>
        <v>6.5087959646935051E-3</v>
      </c>
      <c r="J17" s="903">
        <f t="shared" ca="1" si="1"/>
        <v>6.4443524402905987E-3</v>
      </c>
      <c r="K17" s="904">
        <f t="shared" ca="1" si="2"/>
        <v>8.0495882704165453E-2</v>
      </c>
      <c r="L17" s="905">
        <f>SUMIFS('1. NPS Key &amp; Key-Lyn'!$AH$6:$AH$120,'1. NPS Key &amp; Key-Lyn'!$H$6:$H$120,'3.2 Model Logic'!$E17)</f>
        <v>84712872.291352108</v>
      </c>
      <c r="M17" s="902">
        <f t="shared" si="10"/>
        <v>6.9794273523550054E-2</v>
      </c>
      <c r="N17" s="903">
        <f t="shared" ca="1" si="3"/>
        <v>6.9103241112425801E-2</v>
      </c>
      <c r="O17" s="904">
        <f t="shared" ca="1" si="4"/>
        <v>0.72201436098946536</v>
      </c>
      <c r="P17" s="906" t="str">
        <f>IFERROR(INDEX('3.1 Model Assumptions &amp; Inputs'!$F$21:$F$70,MATCH('3.2 Model Logic'!$E17,'3.1 Model Assumptions &amp; Inputs'!$B$21:$B$70,0)),"Low")</f>
        <v>Low</v>
      </c>
      <c r="Q17" s="907">
        <v>1</v>
      </c>
      <c r="R17" s="908">
        <f t="shared" si="11"/>
        <v>0</v>
      </c>
      <c r="S17" s="907">
        <f t="shared" si="12"/>
        <v>0</v>
      </c>
      <c r="T17" s="904">
        <f t="shared" si="13"/>
        <v>0</v>
      </c>
      <c r="U17" s="902">
        <f>IFERROR(INDEX('3.1 Model Assumptions &amp; Inputs'!$L$21:$L$70,MATCH('3.2 Model Logic'!$E17,'3.1 Model Assumptions &amp; Inputs'!$B$21:$B$70,0)),0)</f>
        <v>0</v>
      </c>
      <c r="V17" s="907">
        <f t="shared" si="14"/>
        <v>0</v>
      </c>
      <c r="W17" s="903">
        <f t="shared" ca="1" si="5"/>
        <v>0</v>
      </c>
      <c r="X17" s="904">
        <f t="shared" ca="1" si="6"/>
        <v>0</v>
      </c>
      <c r="Y17" s="909">
        <f>INDEX('3.1 Model Assumptions &amp; Inputs'!$R$21:$R$70,MATCH('3.2 Model Logic'!$E17,'3.1 Model Assumptions &amp; Inputs'!$B$21:$B$70,0))</f>
        <v>3</v>
      </c>
      <c r="Z17" s="907">
        <f t="shared" si="15"/>
        <v>0.75</v>
      </c>
      <c r="AA17" s="903">
        <f t="shared" ca="1" si="7"/>
        <v>0.74257425742574257</v>
      </c>
      <c r="AB17" s="904">
        <f t="shared" ca="1" si="16"/>
        <v>0.79753250224719108</v>
      </c>
      <c r="AC17" s="906" t="str">
        <f>SUBSTITUTE(INDEX('3.1 Model Assumptions &amp; Inputs'!$E$21:$E$70,MATCH('3.2 Model Logic'!$E17,'3.1 Model Assumptions &amp; Inputs'!$B$21:$B$70,0)),"Base","Low")</f>
        <v>Medium</v>
      </c>
      <c r="AD17" s="902">
        <f t="shared" si="17"/>
        <v>0.33333333333333331</v>
      </c>
      <c r="AE17" s="908">
        <f t="shared" si="8"/>
        <v>0.5</v>
      </c>
      <c r="AF17" s="907">
        <f t="shared" si="18"/>
        <v>0.16666666666666666</v>
      </c>
      <c r="AG17" s="904">
        <f t="shared" si="19"/>
        <v>0.52683435537742118</v>
      </c>
      <c r="AH17" s="910">
        <f t="shared" ca="1" si="9"/>
        <v>2.126877101318243</v>
      </c>
      <c r="AI17" s="957">
        <f t="shared" ca="1" si="20"/>
        <v>8.989287127393884E-3</v>
      </c>
      <c r="AJ17" s="957">
        <f t="shared" ca="1" si="21"/>
        <v>0.23774951125653043</v>
      </c>
    </row>
    <row r="18" spans="2:38" x14ac:dyDescent="0.35">
      <c r="B18" s="897">
        <f>INDEX('NPS with launch Dates '!$J$6:$J$59,MATCH('3.2 Model Logic'!$E18,'NPS with launch Dates '!$I$6:$I$59,0))</f>
        <v>45810</v>
      </c>
      <c r="C18" s="898" t="str">
        <f>INDEX('Raw Forecasting NPS Data'!$D$6:$D$166,MATCH('3.2 Model Logic'!$E18,'Raw Forecasting NPS Data'!$I$6:$I$166,0))</f>
        <v>NMIBC BCG Persistent</v>
      </c>
      <c r="D18" s="898" t="str">
        <f>INDEX('MCODE Final Mapping'!$E$6:$E$76,MATCH('3.2 Model Logic'!$E18,'MCODE Final Mapping'!$D$6:$D$76,0))</f>
        <v>PROMO-US-2024 KEYTRUDA BLAD -NMIBC</v>
      </c>
      <c r="E18" s="899" t="s">
        <v>225</v>
      </c>
      <c r="F18" s="900" t="str">
        <f>INDEX('2.  Sales Data Key &amp; Key-Lyn'!$D$7:$D$60,MATCH('3.2 Model Logic'!$E18,'2.  Sales Data Key &amp; Key-Lyn'!$C$7:$C$60,0))</f>
        <v>Future Launch</v>
      </c>
      <c r="G18" s="901"/>
      <c r="H18" s="960">
        <f>IF(INDEX('2.  Sales Data Key &amp; Key-Lyn'!$W$7:$W$60,MATCH('3.2 Model Logic'!$E18,'2.  Sales Data Key &amp; Key-Lyn'!$C$7:$C$60,0))="-",0,INDEX('2.  Sales Data Key &amp; Key-Lyn'!$W$7:$W$60,MATCH('3.2 Model Logic'!$E18,'2.  Sales Data Key &amp; Key-Lyn'!$C$7:$C$60,0)))</f>
        <v>3.0930548870565371</v>
      </c>
      <c r="I18" s="902">
        <f t="shared" si="0"/>
        <v>1.1172454363903958E-3</v>
      </c>
      <c r="J18" s="903">
        <f t="shared" ca="1" si="1"/>
        <v>1.1061836003865306E-3</v>
      </c>
      <c r="K18" s="904">
        <f t="shared" ca="1" si="2"/>
        <v>1.3817249470913531E-2</v>
      </c>
      <c r="L18" s="905">
        <f>SUMIFS('1. NPS Key &amp; Key-Lyn'!$AH$6:$AH$120,'1. NPS Key &amp; Key-Lyn'!$H$6:$H$120,'3.2 Model Logic'!$E18)</f>
        <v>14469768.266971581</v>
      </c>
      <c r="M18" s="902">
        <f t="shared" si="10"/>
        <v>1.1921529006524968E-2</v>
      </c>
      <c r="N18" s="903">
        <f t="shared" ca="1" si="3"/>
        <v>1.1803494065866305E-2</v>
      </c>
      <c r="O18" s="904">
        <f t="shared" ca="1" si="4"/>
        <v>0.12332695381891388</v>
      </c>
      <c r="P18" s="906" t="str">
        <f>IFERROR(INDEX('3.1 Model Assumptions &amp; Inputs'!$F$21:$F$70,MATCH('3.2 Model Logic'!$E18,'3.1 Model Assumptions &amp; Inputs'!$B$21:$B$70,0)),"Low")</f>
        <v>Low</v>
      </c>
      <c r="Q18" s="907">
        <v>1</v>
      </c>
      <c r="R18" s="908">
        <f t="shared" si="11"/>
        <v>0</v>
      </c>
      <c r="S18" s="907">
        <f t="shared" si="12"/>
        <v>0</v>
      </c>
      <c r="T18" s="904">
        <f t="shared" si="13"/>
        <v>0</v>
      </c>
      <c r="U18" s="902">
        <f>IFERROR(INDEX('3.1 Model Assumptions &amp; Inputs'!$L$21:$L$70,MATCH('3.2 Model Logic'!$E18,'3.1 Model Assumptions &amp; Inputs'!$B$21:$B$70,0)),0)</f>
        <v>0</v>
      </c>
      <c r="V18" s="907">
        <f t="shared" si="14"/>
        <v>0</v>
      </c>
      <c r="W18" s="903">
        <f t="shared" ca="1" si="5"/>
        <v>0</v>
      </c>
      <c r="X18" s="904">
        <f t="shared" ca="1" si="6"/>
        <v>0</v>
      </c>
      <c r="Y18" s="909">
        <f>INDEX('3.1 Model Assumptions &amp; Inputs'!$R$21:$R$70,MATCH('3.2 Model Logic'!$E18,'3.1 Model Assumptions &amp; Inputs'!$B$21:$B$70,0))</f>
        <v>3</v>
      </c>
      <c r="Z18" s="907">
        <f t="shared" si="15"/>
        <v>0.75</v>
      </c>
      <c r="AA18" s="903">
        <f t="shared" ca="1" si="7"/>
        <v>0.74257425742574257</v>
      </c>
      <c r="AB18" s="904">
        <f t="shared" ca="1" si="16"/>
        <v>0.79753250224719108</v>
      </c>
      <c r="AC18" s="906" t="str">
        <f>SUBSTITUTE(INDEX('3.1 Model Assumptions &amp; Inputs'!$E$21:$E$70,MATCH('3.2 Model Logic'!$E18,'3.1 Model Assumptions &amp; Inputs'!$B$21:$B$70,0)),"Base","Low")</f>
        <v>Medium</v>
      </c>
      <c r="AD18" s="902">
        <f t="shared" si="17"/>
        <v>0.33333333333333331</v>
      </c>
      <c r="AE18" s="908">
        <f t="shared" si="8"/>
        <v>0.5</v>
      </c>
      <c r="AF18" s="907">
        <f t="shared" si="18"/>
        <v>0.16666666666666666</v>
      </c>
      <c r="AG18" s="904">
        <f t="shared" si="19"/>
        <v>0.52683435537742118</v>
      </c>
      <c r="AH18" s="910">
        <f t="shared" ca="1" si="9"/>
        <v>1.4615110609144395</v>
      </c>
      <c r="AI18" s="957">
        <f t="shared" ca="1" si="20"/>
        <v>6.1771047129516908E-3</v>
      </c>
      <c r="AJ18" s="957">
        <f t="shared" ca="1" si="21"/>
        <v>0.16337264631466314</v>
      </c>
    </row>
    <row r="19" spans="2:38" x14ac:dyDescent="0.35">
      <c r="B19" s="897">
        <f>INDEX('NPS with launch Dates '!$J$6:$J$59,MATCH('3.2 Model Logic'!$E19,'NPS with launch Dates '!$I$6:$I$59,0))</f>
        <v>44228</v>
      </c>
      <c r="C19" s="898" t="str">
        <f>INDEX('Raw Forecasting NPS Data'!$D$6:$D$166,MATCH('3.2 Model Logic'!$E19,'Raw Forecasting NPS Data'!$I$6:$I$166,0))</f>
        <v>NMIBC</v>
      </c>
      <c r="D19" s="898" t="str">
        <f>INDEX('MCODE Final Mapping'!$E$6:$E$76,MATCH('3.2 Model Logic'!$E19,'MCODE Final Mapping'!$D$6:$D$76,0))</f>
        <v>PROMO-US-2024 KEYTRUDA BLAD -NMIBC</v>
      </c>
      <c r="E19" s="899" t="s">
        <v>227</v>
      </c>
      <c r="F19" s="900" t="str">
        <f>INDEX('2.  Sales Data Key &amp; Key-Lyn'!$D$7:$D$60,MATCH('3.2 Model Logic'!$E19,'2.  Sales Data Key &amp; Key-Lyn'!$C$7:$C$60,0))</f>
        <v>Established</v>
      </c>
      <c r="G19" s="901"/>
      <c r="H19" s="960">
        <f>IF(INDEX('2.  Sales Data Key &amp; Key-Lyn'!$W$7:$W$60,MATCH('3.2 Model Logic'!$E19,'2.  Sales Data Key &amp; Key-Lyn'!$C$7:$C$60,0))="-",0,INDEX('2.  Sales Data Key &amp; Key-Lyn'!$W$7:$W$60,MATCH('3.2 Model Logic'!$E19,'2.  Sales Data Key &amp; Key-Lyn'!$C$7:$C$60,0)))</f>
        <v>280.44631437056597</v>
      </c>
      <c r="I19" s="902">
        <f t="shared" si="0"/>
        <v>0.10130029253415375</v>
      </c>
      <c r="J19" s="903">
        <f t="shared" ca="1" si="1"/>
        <v>0.10029731934074627</v>
      </c>
      <c r="K19" s="904">
        <f t="shared" ca="1" si="2"/>
        <v>1.2528056663565832</v>
      </c>
      <c r="L19" s="905">
        <f>SUMIFS('1. NPS Key &amp; Key-Lyn'!$AH$6:$AH$120,'1. NPS Key &amp; Key-Lyn'!$H$6:$H$120,'3.2 Model Logic'!$E19)</f>
        <v>212127475.08999506</v>
      </c>
      <c r="M19" s="902">
        <f t="shared" si="10"/>
        <v>0.17477016913523497</v>
      </c>
      <c r="N19" s="903">
        <f t="shared" ca="1" si="3"/>
        <v>0.17303977142102481</v>
      </c>
      <c r="O19" s="904">
        <f t="shared" ca="1" si="4"/>
        <v>1.8079788730177058</v>
      </c>
      <c r="P19" s="906" t="str">
        <f>IFERROR(INDEX('3.1 Model Assumptions &amp; Inputs'!$F$21:$F$70,MATCH('3.2 Model Logic'!$E19,'3.1 Model Assumptions &amp; Inputs'!$B$21:$B$70,0)),"Low")</f>
        <v>Medium</v>
      </c>
      <c r="Q19" s="907">
        <v>1</v>
      </c>
      <c r="R19" s="908">
        <f t="shared" si="11"/>
        <v>0.6</v>
      </c>
      <c r="S19" s="907">
        <f t="shared" si="12"/>
        <v>0.6</v>
      </c>
      <c r="T19" s="904">
        <f t="shared" si="13"/>
        <v>0.97233414657534256</v>
      </c>
      <c r="U19" s="902">
        <f>IFERROR(INDEX('3.1 Model Assumptions &amp; Inputs'!$L$21:$L$70,MATCH('3.2 Model Logic'!$E19,'3.1 Model Assumptions &amp; Inputs'!$B$21:$B$70,0)),0)</f>
        <v>0</v>
      </c>
      <c r="V19" s="907">
        <f t="shared" si="14"/>
        <v>0</v>
      </c>
      <c r="W19" s="903">
        <f t="shared" ca="1" si="5"/>
        <v>0</v>
      </c>
      <c r="X19" s="904">
        <f t="shared" ca="1" si="6"/>
        <v>0</v>
      </c>
      <c r="Y19" s="909">
        <f>INDEX('3.1 Model Assumptions &amp; Inputs'!$R$21:$R$70,MATCH('3.2 Model Logic'!$E19,'3.1 Model Assumptions &amp; Inputs'!$B$21:$B$70,0))</f>
        <v>3</v>
      </c>
      <c r="Z19" s="907">
        <f t="shared" si="15"/>
        <v>0.75</v>
      </c>
      <c r="AA19" s="903">
        <f t="shared" ca="1" si="7"/>
        <v>0.74257425742574257</v>
      </c>
      <c r="AB19" s="904">
        <f t="shared" ca="1" si="16"/>
        <v>0.79753250224719108</v>
      </c>
      <c r="AC19" s="906" t="str">
        <f>SUBSTITUTE(INDEX('3.1 Model Assumptions &amp; Inputs'!$E$21:$E$70,MATCH('3.2 Model Logic'!$E19,'3.1 Model Assumptions &amp; Inputs'!$B$21:$B$70,0)),"Base","Low")</f>
        <v>Medium</v>
      </c>
      <c r="AD19" s="902">
        <f t="shared" si="17"/>
        <v>0.33333333333333331</v>
      </c>
      <c r="AE19" s="908">
        <f t="shared" si="8"/>
        <v>0.5</v>
      </c>
      <c r="AF19" s="907">
        <f t="shared" si="18"/>
        <v>0.16666666666666666</v>
      </c>
      <c r="AG19" s="904">
        <f t="shared" si="19"/>
        <v>0.52683435537742118</v>
      </c>
      <c r="AH19" s="910">
        <f t="shared" ca="1" si="9"/>
        <v>5.357485543574243</v>
      </c>
      <c r="AI19" s="957">
        <f t="shared" ca="1" si="20"/>
        <v>2.2643516074436605E-2</v>
      </c>
      <c r="AJ19" s="957">
        <f t="shared" ca="1" si="21"/>
        <v>0.59887784242880648</v>
      </c>
    </row>
    <row r="20" spans="2:38" x14ac:dyDescent="0.35">
      <c r="B20" s="433">
        <f>INDEX('NPS with launch Dates '!$J$6:$J$59,MATCH('3.2 Model Logic'!$E20,'NPS with launch Dates '!$I$6:$I$59,0))</f>
        <v>45963</v>
      </c>
      <c r="C20" s="274" t="str">
        <f>INDEX('Raw Forecasting NPS Data'!$D$6:$D$166,MATCH('3.2 Model Logic'!$E20,'Raw Forecasting NPS Data'!$I$6:$I$166,0))</f>
        <v>HR+ HER2- Breast Cancer</v>
      </c>
      <c r="D20" s="274" t="str">
        <f>INDEX('MCODE Final Mapping'!$E$6:$E$76,MATCH('3.2 Model Logic'!$E20,'MCODE Final Mapping'!$D$6:$D$76,0))</f>
        <v>PROMO-US-2024 KEYTRUDA BREAST CANC</v>
      </c>
      <c r="E20" s="684" t="s">
        <v>168</v>
      </c>
      <c r="F20" s="704" t="str">
        <f>INDEX('2.  Sales Data Key &amp; Key-Lyn'!$D$7:$D$60,MATCH('3.2 Model Logic'!$E20,'2.  Sales Data Key &amp; Key-Lyn'!$C$7:$C$60,0))</f>
        <v>Future Launch</v>
      </c>
      <c r="G20" s="705"/>
      <c r="H20" s="961">
        <f>IF(INDEX('2.  Sales Data Key &amp; Key-Lyn'!$W$7:$W$60,MATCH('3.2 Model Logic'!$E20,'2.  Sales Data Key &amp; Key-Lyn'!$C$7:$C$60,0))="-",0,INDEX('2.  Sales Data Key &amp; Key-Lyn'!$W$7:$W$60,MATCH('3.2 Model Logic'!$E20,'2.  Sales Data Key &amp; Key-Lyn'!$C$7:$C$60,0)))</f>
        <v>6.5391363744173606E-2</v>
      </c>
      <c r="I20" s="276">
        <f t="shared" si="0"/>
        <v>2.3620079626859506E-5</v>
      </c>
      <c r="J20" s="277">
        <f t="shared" ca="1" si="1"/>
        <v>2.3386217452336146E-5</v>
      </c>
      <c r="K20" s="874">
        <f t="shared" ca="1" si="2"/>
        <v>2.9211534198034472E-4</v>
      </c>
      <c r="L20" s="681">
        <f>SUMIFS('1. NPS Key &amp; Key-Lyn'!$AH$6:$AH$120,'1. NPS Key &amp; Key-Lyn'!$H$6:$H$120,'3.2 Model Logic'!$E20)</f>
        <v>407144.22319119092</v>
      </c>
      <c r="M20" s="276">
        <f t="shared" si="10"/>
        <v>3.3544294400982276E-4</v>
      </c>
      <c r="N20" s="277">
        <f t="shared" ca="1" si="3"/>
        <v>3.3212172674239879E-4</v>
      </c>
      <c r="O20" s="874">
        <f t="shared" ca="1" si="4"/>
        <v>3.4701216968173708E-3</v>
      </c>
      <c r="P20" s="687" t="str">
        <f>IFERROR(INDEX('3.1 Model Assumptions &amp; Inputs'!$F$21:$F$70,MATCH('3.2 Model Logic'!$E20,'3.1 Model Assumptions &amp; Inputs'!$B$21:$B$70,0)),"Low")</f>
        <v>Low</v>
      </c>
      <c r="Q20" s="275">
        <v>1</v>
      </c>
      <c r="R20" s="278">
        <f t="shared" si="11"/>
        <v>0</v>
      </c>
      <c r="S20" s="275">
        <f t="shared" si="12"/>
        <v>0</v>
      </c>
      <c r="T20" s="874">
        <f t="shared" si="13"/>
        <v>0</v>
      </c>
      <c r="U20" s="276">
        <f>IFERROR(INDEX('3.1 Model Assumptions &amp; Inputs'!$L$21:$L$70,MATCH('3.2 Model Logic'!$E20,'3.1 Model Assumptions &amp; Inputs'!$B$21:$B$70,0)),0)</f>
        <v>0</v>
      </c>
      <c r="V20" s="275">
        <f t="shared" si="14"/>
        <v>0</v>
      </c>
      <c r="W20" s="277">
        <f t="shared" ca="1" si="5"/>
        <v>0</v>
      </c>
      <c r="X20" s="874">
        <f t="shared" ca="1" si="6"/>
        <v>0</v>
      </c>
      <c r="Y20" s="690">
        <f>INDEX('3.1 Model Assumptions &amp; Inputs'!$R$21:$R$70,MATCH('3.2 Model Logic'!$E20,'3.1 Model Assumptions &amp; Inputs'!$B$21:$B$70,0))</f>
        <v>2</v>
      </c>
      <c r="Z20" s="275">
        <f t="shared" si="15"/>
        <v>0.5</v>
      </c>
      <c r="AA20" s="277">
        <f t="shared" ca="1" si="7"/>
        <v>0.4950495049504951</v>
      </c>
      <c r="AB20" s="874">
        <f t="shared" ca="1" si="16"/>
        <v>0.53168833483146083</v>
      </c>
      <c r="AC20" s="687" t="str">
        <f>SUBSTITUTE(INDEX('3.1 Model Assumptions &amp; Inputs'!$E$21:$E$70,MATCH('3.2 Model Logic'!$E20,'3.1 Model Assumptions &amp; Inputs'!$B$21:$B$70,0)),"Base","Low")</f>
        <v>High</v>
      </c>
      <c r="AD20" s="276">
        <f t="shared" si="17"/>
        <v>0.25</v>
      </c>
      <c r="AE20" s="278">
        <f t="shared" si="8"/>
        <v>1</v>
      </c>
      <c r="AF20" s="275">
        <f t="shared" si="18"/>
        <v>0.25</v>
      </c>
      <c r="AG20" s="874">
        <f t="shared" si="19"/>
        <v>0.79025153306613183</v>
      </c>
      <c r="AH20" s="877">
        <f t="shared" ca="1" si="9"/>
        <v>1.3257021049363904</v>
      </c>
      <c r="AI20" s="958">
        <f t="shared" ca="1" si="20"/>
        <v>5.6031055387626367E-3</v>
      </c>
      <c r="AJ20" s="958">
        <f t="shared" ca="1" si="21"/>
        <v>4.6738967570828904E-2</v>
      </c>
    </row>
    <row r="21" spans="2:38" x14ac:dyDescent="0.35">
      <c r="B21" s="433">
        <f>INDEX('NPS with launch Dates '!$J$6:$J$59,MATCH('3.2 Model Logic'!$E21,'NPS with launch Dates '!$I$6:$I$59,0))</f>
        <v>45810</v>
      </c>
      <c r="C21" s="274" t="str">
        <f>INDEX('Raw Forecasting NPS Data'!$D$6:$D$166,MATCH('3.2 Model Logic'!$E21,'Raw Forecasting NPS Data'!$I$6:$I$166,0))</f>
        <v>TNBC</v>
      </c>
      <c r="D21" s="274" t="str">
        <f>INDEX('MCODE Final Mapping'!$E$6:$E$76,MATCH('3.2 Model Logic'!$E21,'MCODE Final Mapping'!$D$6:$D$76,0))</f>
        <v>PROMO-US-2024 KEYTRUDA BREAST CANC</v>
      </c>
      <c r="E21" s="684" t="s">
        <v>323</v>
      </c>
      <c r="F21" s="704" t="str">
        <f>INDEX('2.  Sales Data Key &amp; Key-Lyn'!$D$7:$D$60,MATCH('3.2 Model Logic'!$E21,'2.  Sales Data Key &amp; Key-Lyn'!$C$7:$C$60,0))</f>
        <v>Future Launch</v>
      </c>
      <c r="G21" s="705"/>
      <c r="H21" s="961">
        <f>IF(INDEX('2.  Sales Data Key &amp; Key-Lyn'!$W$7:$W$60,MATCH('3.2 Model Logic'!$E21,'2.  Sales Data Key &amp; Key-Lyn'!$C$7:$C$60,0))="-",0,INDEX('2.  Sales Data Key &amp; Key-Lyn'!$W$7:$W$60,MATCH('3.2 Model Logic'!$E21,'2.  Sales Data Key &amp; Key-Lyn'!$C$7:$C$60,0)))</f>
        <v>0</v>
      </c>
      <c r="I21" s="276">
        <f t="shared" si="0"/>
        <v>0</v>
      </c>
      <c r="J21" s="277">
        <f t="shared" ca="1" si="1"/>
        <v>0</v>
      </c>
      <c r="K21" s="874">
        <f t="shared" ca="1" si="2"/>
        <v>0</v>
      </c>
      <c r="L21" s="681">
        <f>SUMIFS('1. NPS Key &amp; Key-Lyn'!$AH$6:$AH$120,'1. NPS Key &amp; Key-Lyn'!$H$6:$H$120,'3.2 Model Logic'!$E21)</f>
        <v>15951970.530595783</v>
      </c>
      <c r="M21" s="276">
        <f t="shared" si="10"/>
        <v>1.3142703869405557E-2</v>
      </c>
      <c r="N21" s="277">
        <f t="shared" ca="1" si="3"/>
        <v>1.3012578088520353E-2</v>
      </c>
      <c r="O21" s="874">
        <f t="shared" ca="1" si="4"/>
        <v>0.13595987832355277</v>
      </c>
      <c r="P21" s="687" t="str">
        <f>IFERROR(INDEX('3.1 Model Assumptions &amp; Inputs'!$F$21:$F$70,MATCH('3.2 Model Logic'!$E21,'3.1 Model Assumptions &amp; Inputs'!$B$21:$B$70,0)),"Low")</f>
        <v>Low</v>
      </c>
      <c r="Q21" s="275">
        <v>1</v>
      </c>
      <c r="R21" s="278">
        <f t="shared" si="11"/>
        <v>0</v>
      </c>
      <c r="S21" s="275">
        <f t="shared" si="12"/>
        <v>0</v>
      </c>
      <c r="T21" s="874">
        <f t="shared" si="13"/>
        <v>0</v>
      </c>
      <c r="U21" s="276">
        <f>IFERROR(INDEX('3.1 Model Assumptions &amp; Inputs'!$L$21:$L$70,MATCH('3.2 Model Logic'!$E21,'3.1 Model Assumptions &amp; Inputs'!$B$21:$B$70,0)),0)</f>
        <v>0</v>
      </c>
      <c r="V21" s="275">
        <f t="shared" si="14"/>
        <v>0</v>
      </c>
      <c r="W21" s="277">
        <f t="shared" ca="1" si="5"/>
        <v>0</v>
      </c>
      <c r="X21" s="874">
        <f t="shared" ca="1" si="6"/>
        <v>0</v>
      </c>
      <c r="Y21" s="690">
        <f>INDEX('3.1 Model Assumptions &amp; Inputs'!$R$21:$R$70,MATCH('3.2 Model Logic'!$E21,'3.1 Model Assumptions &amp; Inputs'!$B$21:$B$70,0))</f>
        <v>2</v>
      </c>
      <c r="Z21" s="275">
        <f t="shared" si="15"/>
        <v>0.5</v>
      </c>
      <c r="AA21" s="277">
        <f t="shared" ca="1" si="7"/>
        <v>0.4950495049504951</v>
      </c>
      <c r="AB21" s="874">
        <f t="shared" ca="1" si="16"/>
        <v>0.53168833483146083</v>
      </c>
      <c r="AC21" s="687" t="str">
        <f>SUBSTITUTE(INDEX('3.1 Model Assumptions &amp; Inputs'!$E$21:$E$70,MATCH('3.2 Model Logic'!$E21,'3.1 Model Assumptions &amp; Inputs'!$B$21:$B$70,0)),"Base","Low")</f>
        <v>High</v>
      </c>
      <c r="AD21" s="276">
        <f t="shared" si="17"/>
        <v>0.25</v>
      </c>
      <c r="AE21" s="278">
        <f t="shared" si="8"/>
        <v>1</v>
      </c>
      <c r="AF21" s="275">
        <f t="shared" si="18"/>
        <v>0.25</v>
      </c>
      <c r="AG21" s="874">
        <f t="shared" si="19"/>
        <v>0.79025153306613183</v>
      </c>
      <c r="AH21" s="877">
        <f t="shared" ca="1" si="9"/>
        <v>1.4578997462211456</v>
      </c>
      <c r="AI21" s="958">
        <f t="shared" ca="1" si="20"/>
        <v>6.1618414216852253E-3</v>
      </c>
      <c r="AJ21" s="958">
        <f t="shared" ca="1" si="21"/>
        <v>5.1399729023904148E-2</v>
      </c>
    </row>
    <row r="22" spans="2:38" x14ac:dyDescent="0.35">
      <c r="B22" s="433">
        <f>INDEX('NPS with launch Dates '!$J$6:$J$59,MATCH('3.2 Model Logic'!$E22,'NPS with launch Dates '!$I$6:$I$59,0))</f>
        <v>43115</v>
      </c>
      <c r="C22" s="274" t="str">
        <f>INDEX('Raw Forecasting NPS Data'!$D$6:$D$166,MATCH('3.2 Model Logic'!$E22,'Raw Forecasting NPS Data'!$I$6:$I$166,0))</f>
        <v>TNBC</v>
      </c>
      <c r="D22" s="274" t="str">
        <f>INDEX('MCODE Final Mapping'!$E$6:$E$76,MATCH('3.2 Model Logic'!$E22,'MCODE Final Mapping'!$D$6:$D$76,0))</f>
        <v>PROMO-US-2024 KEYTRUDA BREAST CANC</v>
      </c>
      <c r="E22" s="684" t="s">
        <v>325</v>
      </c>
      <c r="F22" s="704" t="str">
        <f>INDEX('2.  Sales Data Key &amp; Key-Lyn'!$D$7:$D$60,MATCH('3.2 Model Logic'!$E22,'2.  Sales Data Key &amp; Key-Lyn'!$C$7:$C$60,0))</f>
        <v>Mature</v>
      </c>
      <c r="G22" s="705"/>
      <c r="H22" s="961">
        <f>IF(INDEX('2.  Sales Data Key &amp; Key-Lyn'!$W$7:$W$60,MATCH('3.2 Model Logic'!$E22,'2.  Sales Data Key &amp; Key-Lyn'!$C$7:$C$60,0))="-",0,INDEX('2.  Sales Data Key &amp; Key-Lyn'!$W$7:$W$60,MATCH('3.2 Model Logic'!$E22,'2.  Sales Data Key &amp; Key-Lyn'!$C$7:$C$60,0)))</f>
        <v>285.66980078352344</v>
      </c>
      <c r="I22" s="276">
        <f t="shared" si="0"/>
        <v>0.10318707326389297</v>
      </c>
      <c r="J22" s="277">
        <f t="shared" ca="1" si="1"/>
        <v>0.10216541907316135</v>
      </c>
      <c r="K22" s="874">
        <f t="shared" ca="1" si="2"/>
        <v>1.2761399483241576</v>
      </c>
      <c r="L22" s="681">
        <f>SUMIFS('1. NPS Key &amp; Key-Lyn'!$AH$6:$AH$120,'1. NPS Key &amp; Key-Lyn'!$H$6:$H$120,'3.2 Model Logic'!$E22)</f>
        <v>82155939.170942307</v>
      </c>
      <c r="M22" s="276">
        <f t="shared" si="10"/>
        <v>6.7687636305849161E-2</v>
      </c>
      <c r="N22" s="277">
        <f t="shared" ca="1" si="3"/>
        <v>6.701746168895957E-2</v>
      </c>
      <c r="O22" s="874">
        <f t="shared" ca="1" si="4"/>
        <v>0.70022142228853168</v>
      </c>
      <c r="P22" s="687" t="str">
        <f>IFERROR(INDEX('3.1 Model Assumptions &amp; Inputs'!$F$21:$F$70,MATCH('3.2 Model Logic'!$E22,'3.1 Model Assumptions &amp; Inputs'!$B$21:$B$70,0)),"Low")</f>
        <v>Low</v>
      </c>
      <c r="Q22" s="275">
        <v>1</v>
      </c>
      <c r="R22" s="278">
        <f t="shared" si="11"/>
        <v>0</v>
      </c>
      <c r="S22" s="275">
        <f t="shared" si="12"/>
        <v>0</v>
      </c>
      <c r="T22" s="874">
        <f t="shared" si="13"/>
        <v>0</v>
      </c>
      <c r="U22" s="276">
        <f>IFERROR(INDEX('3.1 Model Assumptions &amp; Inputs'!$L$21:$L$70,MATCH('3.2 Model Logic'!$E22,'3.1 Model Assumptions &amp; Inputs'!$B$21:$B$70,0)),0)</f>
        <v>0</v>
      </c>
      <c r="V22" s="275">
        <f t="shared" si="14"/>
        <v>0</v>
      </c>
      <c r="W22" s="277">
        <f t="shared" ca="1" si="5"/>
        <v>0</v>
      </c>
      <c r="X22" s="874">
        <f t="shared" ca="1" si="6"/>
        <v>0</v>
      </c>
      <c r="Y22" s="690">
        <f>INDEX('3.1 Model Assumptions &amp; Inputs'!$R$21:$R$70,MATCH('3.2 Model Logic'!$E22,'3.1 Model Assumptions &amp; Inputs'!$B$21:$B$70,0))</f>
        <v>2</v>
      </c>
      <c r="Z22" s="275">
        <f t="shared" si="15"/>
        <v>0.5</v>
      </c>
      <c r="AA22" s="277">
        <f t="shared" ca="1" si="7"/>
        <v>0.4950495049504951</v>
      </c>
      <c r="AB22" s="874">
        <f t="shared" ca="1" si="16"/>
        <v>0.53168833483146083</v>
      </c>
      <c r="AC22" s="687" t="str">
        <f>SUBSTITUTE(INDEX('3.1 Model Assumptions &amp; Inputs'!$E$21:$E$70,MATCH('3.2 Model Logic'!$E22,'3.1 Model Assumptions &amp; Inputs'!$B$21:$B$70,0)),"Base","Low")</f>
        <v>High</v>
      </c>
      <c r="AD22" s="276">
        <f t="shared" si="17"/>
        <v>0.25</v>
      </c>
      <c r="AE22" s="278">
        <f t="shared" si="8"/>
        <v>1</v>
      </c>
      <c r="AF22" s="275">
        <f t="shared" si="18"/>
        <v>0.25</v>
      </c>
      <c r="AG22" s="874">
        <f t="shared" si="19"/>
        <v>0.79025153306613183</v>
      </c>
      <c r="AH22" s="877">
        <f t="shared" ca="1" si="9"/>
        <v>3.2983012385102817</v>
      </c>
      <c r="AI22" s="958">
        <f t="shared" ca="1" si="20"/>
        <v>1.394033385719891E-2</v>
      </c>
      <c r="AJ22" s="958">
        <f t="shared" ca="1" si="21"/>
        <v>0.11628494369249998</v>
      </c>
    </row>
    <row r="23" spans="2:38" x14ac:dyDescent="0.35">
      <c r="B23" s="433">
        <f>INDEX('NPS with launch Dates '!$J$6:$J$59,MATCH('3.2 Model Logic'!$E23,'NPS with launch Dates '!$I$6:$I$59,0))</f>
        <v>44378</v>
      </c>
      <c r="C23" s="274" t="str">
        <f>INDEX('Raw Forecasting NPS Data'!$D$6:$D$166,MATCH('3.2 Model Logic'!$E23,'Raw Forecasting NPS Data'!$I$6:$I$166,0))</f>
        <v>TNBC</v>
      </c>
      <c r="D23" s="274" t="str">
        <f>INDEX('MCODE Final Mapping'!$E$6:$E$76,MATCH('3.2 Model Logic'!$E23,'MCODE Final Mapping'!$D$6:$D$76,0))</f>
        <v>PROMO-US-2024 KEYTRUDA BREAST CANC</v>
      </c>
      <c r="E23" s="684" t="s">
        <v>329</v>
      </c>
      <c r="F23" s="704" t="str">
        <f>INDEX('2.  Sales Data Key &amp; Key-Lyn'!$D$7:$D$60,MATCH('3.2 Model Logic'!$E23,'2.  Sales Data Key &amp; Key-Lyn'!$C$7:$C$60,0))</f>
        <v>Established</v>
      </c>
      <c r="G23" s="705"/>
      <c r="H23" s="961">
        <f>IF(INDEX('2.  Sales Data Key &amp; Key-Lyn'!$W$7:$W$60,MATCH('3.2 Model Logic'!$E23,'2.  Sales Data Key &amp; Key-Lyn'!$C$7:$C$60,0))="-",0,INDEX('2.  Sales Data Key &amp; Key-Lyn'!$W$7:$W$60,MATCH('3.2 Model Logic'!$E23,'2.  Sales Data Key &amp; Key-Lyn'!$C$7:$C$60,0)))</f>
        <v>1953.9864848219636</v>
      </c>
      <c r="I23" s="276">
        <f t="shared" si="0"/>
        <v>0.70580140432404359</v>
      </c>
      <c r="J23" s="277">
        <f t="shared" ca="1" si="1"/>
        <v>0.69881327160796392</v>
      </c>
      <c r="K23" s="874">
        <f t="shared" ca="1" si="2"/>
        <v>8.7288197944884889</v>
      </c>
      <c r="L23" s="681">
        <f>SUMIFS('1. NPS Key &amp; Key-Lyn'!$AH$6:$AH$120,'1. NPS Key &amp; Key-Lyn'!$H$6:$H$120,'3.2 Model Logic'!$E23)</f>
        <v>1213751043.0962248</v>
      </c>
      <c r="M23" s="276">
        <f t="shared" si="10"/>
        <v>1</v>
      </c>
      <c r="N23" s="277">
        <f t="shared" ca="1" si="3"/>
        <v>0.99009900990099009</v>
      </c>
      <c r="O23" s="874">
        <f t="shared" ca="1" si="4"/>
        <v>10.344893994001421</v>
      </c>
      <c r="P23" s="687" t="str">
        <f>IFERROR(INDEX('3.1 Model Assumptions &amp; Inputs'!$F$21:$F$70,MATCH('3.2 Model Logic'!$E23,'3.1 Model Assumptions &amp; Inputs'!$B$21:$B$70,0)),"Low")</f>
        <v>High</v>
      </c>
      <c r="Q23" s="275">
        <v>1</v>
      </c>
      <c r="R23" s="278">
        <f t="shared" si="11"/>
        <v>1</v>
      </c>
      <c r="S23" s="275">
        <f t="shared" si="12"/>
        <v>1</v>
      </c>
      <c r="T23" s="874">
        <f t="shared" si="13"/>
        <v>1.6205569109589042</v>
      </c>
      <c r="U23" s="276">
        <f>IFERROR(INDEX('3.1 Model Assumptions &amp; Inputs'!$L$21:$L$70,MATCH('3.2 Model Logic'!$E23,'3.1 Model Assumptions &amp; Inputs'!$B$21:$B$70,0)),0)</f>
        <v>0</v>
      </c>
      <c r="V23" s="275">
        <f t="shared" si="14"/>
        <v>0</v>
      </c>
      <c r="W23" s="277">
        <f t="shared" ca="1" si="5"/>
        <v>0</v>
      </c>
      <c r="X23" s="874">
        <f t="shared" ca="1" si="6"/>
        <v>0</v>
      </c>
      <c r="Y23" s="690">
        <f>INDEX('3.1 Model Assumptions &amp; Inputs'!$R$21:$R$70,MATCH('3.2 Model Logic'!$E23,'3.1 Model Assumptions &amp; Inputs'!$B$21:$B$70,0))</f>
        <v>3</v>
      </c>
      <c r="Z23" s="275">
        <f t="shared" si="15"/>
        <v>0.75</v>
      </c>
      <c r="AA23" s="277">
        <f t="shared" ca="1" si="7"/>
        <v>0.74257425742574257</v>
      </c>
      <c r="AB23" s="874">
        <f t="shared" ca="1" si="16"/>
        <v>0.79753250224719108</v>
      </c>
      <c r="AC23" s="687" t="str">
        <f>SUBSTITUTE(INDEX('3.1 Model Assumptions &amp; Inputs'!$E$21:$E$70,MATCH('3.2 Model Logic'!$E23,'3.1 Model Assumptions &amp; Inputs'!$B$21:$B$70,0)),"Base","Low")</f>
        <v>High</v>
      </c>
      <c r="AD23" s="276">
        <f t="shared" si="17"/>
        <v>0.25</v>
      </c>
      <c r="AE23" s="278">
        <f t="shared" si="8"/>
        <v>1</v>
      </c>
      <c r="AF23" s="275">
        <f t="shared" si="18"/>
        <v>0.25</v>
      </c>
      <c r="AG23" s="874">
        <f t="shared" si="19"/>
        <v>0.79025153306613183</v>
      </c>
      <c r="AH23" s="877">
        <f t="shared" ca="1" si="9"/>
        <v>22.282054734762138</v>
      </c>
      <c r="AI23" s="958">
        <f t="shared" ca="1" si="20"/>
        <v>9.4175534484308931E-2</v>
      </c>
      <c r="AJ23" s="958">
        <f t="shared" ca="1" si="21"/>
        <v>0.78557635971276696</v>
      </c>
    </row>
    <row r="24" spans="2:38" x14ac:dyDescent="0.35">
      <c r="B24" s="897">
        <f>INDEX('NPS with launch Dates '!$J$6:$J$59,MATCH('3.2 Model Logic'!$E24,'NPS with launch Dates '!$I$6:$I$59,0))</f>
        <v>45324</v>
      </c>
      <c r="C24" s="898" t="str">
        <f>INDEX('Raw Forecasting NPS Data'!$D$6:$D$166,MATCH('3.2 Model Logic'!$E24,'Raw Forecasting NPS Data'!$I$6:$I$166,0))</f>
        <v>Cervical</v>
      </c>
      <c r="D24" s="898" t="str">
        <f>INDEX('MCODE Final Mapping'!$E$6:$E$76,MATCH('3.2 Model Logic'!$E24,'MCODE Final Mapping'!$D$6:$D$76,0))</f>
        <v>PROMO-US-2024 KEYTRUDA CERVICAL</v>
      </c>
      <c r="E24" s="899" t="s">
        <v>344</v>
      </c>
      <c r="F24" s="900" t="str">
        <f>INDEX('2.  Sales Data Key &amp; Key-Lyn'!$D$7:$D$60,MATCH('3.2 Model Logic'!$E24,'2.  Sales Data Key &amp; Key-Lyn'!$C$7:$C$60,0))</f>
        <v>Planning Year</v>
      </c>
      <c r="G24" s="901"/>
      <c r="H24" s="960">
        <f>IF(INDEX('2.  Sales Data Key &amp; Key-Lyn'!$W$7:$W$60,MATCH('3.2 Model Logic'!$E24,'2.  Sales Data Key &amp; Key-Lyn'!$C$7:$C$60,0))="-",0,INDEX('2.  Sales Data Key &amp; Key-Lyn'!$W$7:$W$60,MATCH('3.2 Model Logic'!$E24,'2.  Sales Data Key &amp; Key-Lyn'!$C$7:$C$60,0)))</f>
        <v>101.14472121917574</v>
      </c>
      <c r="I24" s="902">
        <f t="shared" si="0"/>
        <v>3.6534585490217771E-2</v>
      </c>
      <c r="J24" s="903">
        <f t="shared" ca="1" si="1"/>
        <v>3.6172856921007697E-2</v>
      </c>
      <c r="K24" s="904">
        <f t="shared" ca="1" si="2"/>
        <v>0.45183221662170497</v>
      </c>
      <c r="L24" s="905">
        <f>SUMIFS('1. NPS Key &amp; Key-Lyn'!$AH$6:$AH$120,'1. NPS Key &amp; Key-Lyn'!$H$6:$H$120,'3.2 Model Logic'!$E24)</f>
        <v>208108852.91851625</v>
      </c>
      <c r="M24" s="902">
        <f t="shared" si="10"/>
        <v>0.17145925773018481</v>
      </c>
      <c r="N24" s="903">
        <f t="shared" ca="1" si="3"/>
        <v>0.16976164131701474</v>
      </c>
      <c r="O24" s="904">
        <f t="shared" ca="1" si="4"/>
        <v>1.7737278455089316</v>
      </c>
      <c r="P24" s="906" t="str">
        <f>IFERROR(INDEX('3.1 Model Assumptions &amp; Inputs'!$F$21:$F$70,MATCH('3.2 Model Logic'!$E24,'3.1 Model Assumptions &amp; Inputs'!$B$21:$B$70,0)),"Low")</f>
        <v>Low</v>
      </c>
      <c r="Q24" s="907">
        <v>1</v>
      </c>
      <c r="R24" s="908">
        <f t="shared" si="11"/>
        <v>0</v>
      </c>
      <c r="S24" s="907">
        <f t="shared" si="12"/>
        <v>0</v>
      </c>
      <c r="T24" s="904">
        <f t="shared" si="13"/>
        <v>0</v>
      </c>
      <c r="U24" s="902">
        <f>IFERROR(INDEX('3.1 Model Assumptions &amp; Inputs'!$L$21:$L$70,MATCH('3.2 Model Logic'!$E24,'3.1 Model Assumptions &amp; Inputs'!$B$21:$B$70,0)),0)</f>
        <v>0.25</v>
      </c>
      <c r="V24" s="907">
        <f t="shared" si="14"/>
        <v>0.25</v>
      </c>
      <c r="W24" s="903">
        <f t="shared" ca="1" si="5"/>
        <v>0.24752475247524752</v>
      </c>
      <c r="X24" s="904">
        <f t="shared" ca="1" si="6"/>
        <v>1.3650075519230767</v>
      </c>
      <c r="Y24" s="909">
        <f>INDEX('3.1 Model Assumptions &amp; Inputs'!$R$21:$R$70,MATCH('3.2 Model Logic'!$E24,'3.1 Model Assumptions &amp; Inputs'!$B$21:$B$70,0))</f>
        <v>1</v>
      </c>
      <c r="Z24" s="907">
        <f t="shared" si="15"/>
        <v>0.25</v>
      </c>
      <c r="AA24" s="903">
        <f t="shared" ca="1" si="7"/>
        <v>0.24752475247524761</v>
      </c>
      <c r="AB24" s="904">
        <f t="shared" ca="1" si="16"/>
        <v>0.26584416741573047</v>
      </c>
      <c r="AC24" s="906" t="str">
        <f>SUBSTITUTE(INDEX('3.1 Model Assumptions &amp; Inputs'!$E$21:$E$70,MATCH('3.2 Model Logic'!$E24,'3.1 Model Assumptions &amp; Inputs'!$B$21:$B$70,0)),"Base","Low")</f>
        <v>Low</v>
      </c>
      <c r="AD24" s="902">
        <f t="shared" si="17"/>
        <v>0.33333333333333331</v>
      </c>
      <c r="AE24" s="908">
        <f t="shared" si="8"/>
        <v>0</v>
      </c>
      <c r="AF24" s="907">
        <f t="shared" si="18"/>
        <v>0</v>
      </c>
      <c r="AG24" s="904">
        <f t="shared" si="19"/>
        <v>0</v>
      </c>
      <c r="AH24" s="910">
        <f t="shared" ca="1" si="9"/>
        <v>3.8564117814694434</v>
      </c>
      <c r="AI24" s="957">
        <f t="shared" ca="1" si="20"/>
        <v>1.6299198841158748E-2</v>
      </c>
      <c r="AJ24" s="957">
        <f t="shared" ca="1" si="21"/>
        <v>0.69226868168489797</v>
      </c>
    </row>
    <row r="25" spans="2:38" x14ac:dyDescent="0.35">
      <c r="B25" s="897">
        <f>INDEX('NPS with launch Dates '!$J$6:$J$59,MATCH('3.2 Model Logic'!$E25,'NPS with launch Dates '!$I$6:$I$59,0))</f>
        <v>44482</v>
      </c>
      <c r="C25" s="898" t="str">
        <f>INDEX('Raw Forecasting NPS Data'!$D$6:$D$166,MATCH('3.2 Model Logic'!$E25,'Raw Forecasting NPS Data'!$I$6:$I$166,0))</f>
        <v>Cervical</v>
      </c>
      <c r="D25" s="898" t="str">
        <f>INDEX('MCODE Final Mapping'!$E$6:$E$76,MATCH('3.2 Model Logic'!$E25,'MCODE Final Mapping'!$D$6:$D$76,0))</f>
        <v>PROMO-US-2024 KEYTRUDA CERVICAL</v>
      </c>
      <c r="E25" s="899" t="s">
        <v>345</v>
      </c>
      <c r="F25" s="900" t="str">
        <f>INDEX('2.  Sales Data Key &amp; Key-Lyn'!$D$7:$D$60,MATCH('3.2 Model Logic'!$E25,'2.  Sales Data Key &amp; Key-Lyn'!$C$7:$C$60,0))</f>
        <v>Established</v>
      </c>
      <c r="G25" s="901"/>
      <c r="H25" s="960">
        <f>IF(INDEX('2.  Sales Data Key &amp; Key-Lyn'!$W$7:$W$60,MATCH('3.2 Model Logic'!$E25,'2.  Sales Data Key &amp; Key-Lyn'!$C$7:$C$60,0))="-",0,INDEX('2.  Sales Data Key &amp; Key-Lyn'!$W$7:$W$60,MATCH('3.2 Model Logic'!$E25,'2.  Sales Data Key &amp; Key-Lyn'!$C$7:$C$60,0)))</f>
        <v>176.25715857337713</v>
      </c>
      <c r="I25" s="902">
        <f t="shared" si="0"/>
        <v>6.3666023797800272E-2</v>
      </c>
      <c r="J25" s="903">
        <f t="shared" ca="1" si="1"/>
        <v>6.3035667126534925E-2</v>
      </c>
      <c r="K25" s="904">
        <f t="shared" ca="1" si="2"/>
        <v>0.78737339619612168</v>
      </c>
      <c r="L25" s="905">
        <f>SUMIFS('1. NPS Key &amp; Key-Lyn'!$AH$6:$AH$120,'1. NPS Key &amp; Key-Lyn'!$H$6:$H$120,'3.2 Model Logic'!$E25)</f>
        <v>102522692.22567175</v>
      </c>
      <c r="M25" s="902">
        <f t="shared" si="10"/>
        <v>8.4467644999209182E-2</v>
      </c>
      <c r="N25" s="903">
        <f t="shared" ca="1" si="3"/>
        <v>8.3631331682385332E-2</v>
      </c>
      <c r="O25" s="904">
        <f t="shared" ca="1" si="4"/>
        <v>0.87380883343976334</v>
      </c>
      <c r="P25" s="906" t="str">
        <f>IFERROR(INDEX('3.1 Model Assumptions &amp; Inputs'!$F$21:$F$70,MATCH('3.2 Model Logic'!$E25,'3.1 Model Assumptions &amp; Inputs'!$B$21:$B$70,0)),"Low")</f>
        <v>Low</v>
      </c>
      <c r="Q25" s="907">
        <v>1</v>
      </c>
      <c r="R25" s="908">
        <f t="shared" si="11"/>
        <v>0</v>
      </c>
      <c r="S25" s="907">
        <f t="shared" si="12"/>
        <v>0</v>
      </c>
      <c r="T25" s="904">
        <f t="shared" si="13"/>
        <v>0</v>
      </c>
      <c r="U25" s="902">
        <f>IFERROR(INDEX('3.1 Model Assumptions &amp; Inputs'!$L$21:$L$70,MATCH('3.2 Model Logic'!$E25,'3.1 Model Assumptions &amp; Inputs'!$B$21:$B$70,0)),0)</f>
        <v>0</v>
      </c>
      <c r="V25" s="907">
        <f t="shared" si="14"/>
        <v>0</v>
      </c>
      <c r="W25" s="903">
        <f t="shared" ca="1" si="5"/>
        <v>0</v>
      </c>
      <c r="X25" s="904">
        <f t="shared" ca="1" si="6"/>
        <v>0</v>
      </c>
      <c r="Y25" s="909">
        <f>INDEX('3.1 Model Assumptions &amp; Inputs'!$R$21:$R$70,MATCH('3.2 Model Logic'!$E25,'3.1 Model Assumptions &amp; Inputs'!$B$21:$B$70,0))</f>
        <v>0</v>
      </c>
      <c r="Z25" s="907">
        <f t="shared" si="15"/>
        <v>0</v>
      </c>
      <c r="AA25" s="903">
        <f t="shared" ca="1" si="7"/>
        <v>0</v>
      </c>
      <c r="AB25" s="904">
        <f t="shared" ca="1" si="16"/>
        <v>0</v>
      </c>
      <c r="AC25" s="906" t="str">
        <f>SUBSTITUTE(INDEX('3.1 Model Assumptions &amp; Inputs'!$E$21:$E$70,MATCH('3.2 Model Logic'!$E25,'3.1 Model Assumptions &amp; Inputs'!$B$21:$B$70,0)),"Base","Low")</f>
        <v>Low</v>
      </c>
      <c r="AD25" s="902">
        <f t="shared" si="17"/>
        <v>0.33333333333333331</v>
      </c>
      <c r="AE25" s="908">
        <f t="shared" si="8"/>
        <v>0</v>
      </c>
      <c r="AF25" s="907">
        <f t="shared" si="18"/>
        <v>0</v>
      </c>
      <c r="AG25" s="904">
        <f t="shared" si="19"/>
        <v>0</v>
      </c>
      <c r="AH25" s="910">
        <f t="shared" ca="1" si="9"/>
        <v>1.6611822296358851</v>
      </c>
      <c r="AI25" s="957">
        <f t="shared" ca="1" si="20"/>
        <v>7.0210187621400051E-3</v>
      </c>
      <c r="AJ25" s="957">
        <f t="shared" ca="1" si="21"/>
        <v>0.29820063243096528</v>
      </c>
    </row>
    <row r="26" spans="2:38" x14ac:dyDescent="0.35">
      <c r="B26" s="897">
        <f>INDEX('NPS with launch Dates '!$J$6:$J$59,MATCH('3.2 Model Logic'!$E26,'NPS with launch Dates '!$I$6:$I$59,0))</f>
        <v>43263</v>
      </c>
      <c r="C26" s="898" t="str">
        <f>INDEX('Raw Forecasting NPS Data'!$D$6:$D$166,MATCH('3.2 Model Logic'!$E26,'Raw Forecasting NPS Data'!$I$6:$I$166,0))</f>
        <v>Cervical</v>
      </c>
      <c r="D26" s="898" t="str">
        <f>INDEX('MCODE Final Mapping'!$E$6:$E$76,MATCH('3.2 Model Logic'!$E26,'MCODE Final Mapping'!$D$6:$D$76,0))</f>
        <v>PROMO-US-2024 KEYTRUDA CERVICAL</v>
      </c>
      <c r="E26" s="899" t="s">
        <v>346</v>
      </c>
      <c r="F26" s="900" t="str">
        <f>INDEX('2.  Sales Data Key &amp; Key-Lyn'!$D$7:$D$60,MATCH('3.2 Model Logic'!$E26,'2.  Sales Data Key &amp; Key-Lyn'!$C$7:$C$60,0))</f>
        <v>Mature</v>
      </c>
      <c r="G26" s="901"/>
      <c r="H26" s="960">
        <f>IF(INDEX('2.  Sales Data Key &amp; Key-Lyn'!$W$7:$W$60,MATCH('3.2 Model Logic'!$E26,'2.  Sales Data Key &amp; Key-Lyn'!$C$7:$C$60,0))="-",0,INDEX('2.  Sales Data Key &amp; Key-Lyn'!$W$7:$W$60,MATCH('3.2 Model Logic'!$E26,'2.  Sales Data Key &amp; Key-Lyn'!$C$7:$C$60,0)))</f>
        <v>0</v>
      </c>
      <c r="I26" s="902">
        <f t="shared" si="0"/>
        <v>0</v>
      </c>
      <c r="J26" s="903">
        <f t="shared" ca="1" si="1"/>
        <v>0</v>
      </c>
      <c r="K26" s="904">
        <f t="shared" ca="1" si="2"/>
        <v>0</v>
      </c>
      <c r="L26" s="905">
        <f>SUMIFS('1. NPS Key &amp; Key-Lyn'!$AH$6:$AH$120,'1. NPS Key &amp; Key-Lyn'!$H$6:$H$120,'3.2 Model Logic'!$E26)</f>
        <v>6229259.7986195851</v>
      </c>
      <c r="M26" s="902">
        <f t="shared" si="10"/>
        <v>5.1322384718442927E-3</v>
      </c>
      <c r="N26" s="903">
        <f t="shared" ca="1" si="3"/>
        <v>5.0814242295488046E-3</v>
      </c>
      <c r="O26" s="904">
        <f t="shared" ca="1" si="4"/>
        <v>5.309246294316506E-2</v>
      </c>
      <c r="P26" s="906" t="str">
        <f>IFERROR(INDEX('3.1 Model Assumptions &amp; Inputs'!$F$21:$F$70,MATCH('3.2 Model Logic'!$E26,'3.1 Model Assumptions &amp; Inputs'!$B$21:$B$70,0)),"Low")</f>
        <v>Low</v>
      </c>
      <c r="Q26" s="907">
        <v>1</v>
      </c>
      <c r="R26" s="908">
        <f t="shared" si="11"/>
        <v>0</v>
      </c>
      <c r="S26" s="907">
        <f t="shared" si="12"/>
        <v>0</v>
      </c>
      <c r="T26" s="904">
        <f t="shared" si="13"/>
        <v>0</v>
      </c>
      <c r="U26" s="902">
        <f>IFERROR(INDEX('3.1 Model Assumptions &amp; Inputs'!$L$21:$L$70,MATCH('3.2 Model Logic'!$E26,'3.1 Model Assumptions &amp; Inputs'!$B$21:$B$70,0)),0)</f>
        <v>0</v>
      </c>
      <c r="V26" s="907">
        <f t="shared" si="14"/>
        <v>0</v>
      </c>
      <c r="W26" s="903">
        <f t="shared" ca="1" si="5"/>
        <v>0</v>
      </c>
      <c r="X26" s="904">
        <f t="shared" ca="1" si="6"/>
        <v>0</v>
      </c>
      <c r="Y26" s="909">
        <f>INDEX('3.1 Model Assumptions &amp; Inputs'!$R$21:$R$70,MATCH('3.2 Model Logic'!$E26,'3.1 Model Assumptions &amp; Inputs'!$B$21:$B$70,0))</f>
        <v>0</v>
      </c>
      <c r="Z26" s="907">
        <f t="shared" si="15"/>
        <v>0</v>
      </c>
      <c r="AA26" s="903">
        <f t="shared" ca="1" si="7"/>
        <v>0</v>
      </c>
      <c r="AB26" s="904">
        <f t="shared" ca="1" si="16"/>
        <v>0</v>
      </c>
      <c r="AC26" s="906" t="str">
        <f>SUBSTITUTE(INDEX('3.1 Model Assumptions &amp; Inputs'!$E$21:$E$70,MATCH('3.2 Model Logic'!$E26,'3.1 Model Assumptions &amp; Inputs'!$B$21:$B$70,0)),"Base","Low")</f>
        <v>Low</v>
      </c>
      <c r="AD26" s="902">
        <f t="shared" si="17"/>
        <v>0.33333333333333331</v>
      </c>
      <c r="AE26" s="908">
        <f t="shared" si="8"/>
        <v>0</v>
      </c>
      <c r="AF26" s="907">
        <f t="shared" si="18"/>
        <v>0</v>
      </c>
      <c r="AG26" s="904">
        <f t="shared" si="19"/>
        <v>0</v>
      </c>
      <c r="AH26" s="910">
        <f t="shared" ca="1" si="9"/>
        <v>5.309246294316506E-2</v>
      </c>
      <c r="AI26" s="957">
        <f t="shared" ca="1" si="20"/>
        <v>2.2439631956205723E-4</v>
      </c>
      <c r="AJ26" s="957">
        <f t="shared" ca="1" si="21"/>
        <v>9.5306858841366707E-3</v>
      </c>
    </row>
    <row r="27" spans="2:38" x14ac:dyDescent="0.35">
      <c r="B27" s="433">
        <f>INDEX('NPS with launch Dates '!$J$6:$J$59,MATCH('3.2 Model Logic'!$E27,'NPS with launch Dates '!$I$6:$I$59,0))</f>
        <v>45140</v>
      </c>
      <c r="C27" s="274" t="str">
        <f>INDEX('Raw Forecasting NPS Data'!$D$6:$D$166,MATCH('3.2 Model Logic'!$E27,'Raw Forecasting NPS Data'!$I$6:$I$166,0))</f>
        <v>Endometrial</v>
      </c>
      <c r="D27" s="274" t="str">
        <f>INDEX('MCODE Final Mapping'!$E$6:$E$76,MATCH('3.2 Model Logic'!$E27,'MCODE Final Mapping'!$D$6:$D$76,0))</f>
        <v>PROMO-US-2024 KEYTRUDA ENDOMETRIAL</v>
      </c>
      <c r="E27" s="684" t="s">
        <v>77</v>
      </c>
      <c r="F27" s="704" t="str">
        <f>INDEX('2.  Sales Data Key &amp; Key-Lyn'!$D$7:$D$60,MATCH('3.2 Model Logic'!$E27,'2.  Sales Data Key &amp; Key-Lyn'!$C$7:$C$60,0))</f>
        <v>Recent Launch</v>
      </c>
      <c r="G27" s="705"/>
      <c r="H27" s="961">
        <f>IF(INDEX('2.  Sales Data Key &amp; Key-Lyn'!$W$7:$W$60,MATCH('3.2 Model Logic'!$E27,'2.  Sales Data Key &amp; Key-Lyn'!$C$7:$C$60,0))="-",0,INDEX('2.  Sales Data Key &amp; Key-Lyn'!$W$7:$W$60,MATCH('3.2 Model Logic'!$E27,'2.  Sales Data Key &amp; Key-Lyn'!$C$7:$C$60,0)))</f>
        <v>39.15</v>
      </c>
      <c r="I27" s="276">
        <f t="shared" si="0"/>
        <v>1.414141049281822E-2</v>
      </c>
      <c r="J27" s="277">
        <f t="shared" ca="1" si="1"/>
        <v>1.4001396527542792E-2</v>
      </c>
      <c r="K27" s="874">
        <f t="shared" ca="1" si="2"/>
        <v>0.17489030636021066</v>
      </c>
      <c r="L27" s="681">
        <f>SUMIFS('1. NPS Key &amp; Key-Lyn'!$AH$6:$AH$120,'1. NPS Key &amp; Key-Lyn'!$H$6:$H$120,'3.2 Model Logic'!$E27)</f>
        <v>72376159.461792186</v>
      </c>
      <c r="M27" s="276">
        <f t="shared" si="10"/>
        <v>5.9630152223938637E-2</v>
      </c>
      <c r="N27" s="277">
        <f t="shared" ca="1" si="3"/>
        <v>5.9039754677166968E-2</v>
      </c>
      <c r="O27" s="874">
        <f t="shared" ca="1" si="4"/>
        <v>0.61686760360281334</v>
      </c>
      <c r="P27" s="687" t="str">
        <f>IFERROR(INDEX('3.1 Model Assumptions &amp; Inputs'!$F$21:$F$70,MATCH('3.2 Model Logic'!$E27,'3.1 Model Assumptions &amp; Inputs'!$B$21:$B$70,0)),"Low")</f>
        <v>Low</v>
      </c>
      <c r="Q27" s="275">
        <v>1</v>
      </c>
      <c r="R27" s="278">
        <f t="shared" si="11"/>
        <v>0</v>
      </c>
      <c r="S27" s="275">
        <f t="shared" si="12"/>
        <v>0</v>
      </c>
      <c r="T27" s="874">
        <f t="shared" si="13"/>
        <v>0</v>
      </c>
      <c r="U27" s="276">
        <f>IFERROR(INDEX('3.1 Model Assumptions &amp; Inputs'!$L$21:$L$70,MATCH('3.2 Model Logic'!$E27,'3.1 Model Assumptions &amp; Inputs'!$B$21:$B$70,0)),0)</f>
        <v>0.25</v>
      </c>
      <c r="V27" s="275">
        <f t="shared" si="14"/>
        <v>0.25</v>
      </c>
      <c r="W27" s="277">
        <f t="shared" ca="1" si="5"/>
        <v>0.24752475247524752</v>
      </c>
      <c r="X27" s="874">
        <f t="shared" ca="1" si="6"/>
        <v>1.3650075519230767</v>
      </c>
      <c r="Y27" s="690">
        <f>INDEX('3.1 Model Assumptions &amp; Inputs'!$R$21:$R$70,MATCH('3.2 Model Logic'!$E27,'3.1 Model Assumptions &amp; Inputs'!$B$21:$B$70,0))</f>
        <v>2</v>
      </c>
      <c r="Z27" s="275">
        <f t="shared" si="15"/>
        <v>0.5</v>
      </c>
      <c r="AA27" s="277">
        <f t="shared" ca="1" si="7"/>
        <v>0.4950495049504951</v>
      </c>
      <c r="AB27" s="874">
        <f t="shared" ca="1" si="16"/>
        <v>0.53168833483146083</v>
      </c>
      <c r="AC27" s="687" t="str">
        <f>SUBSTITUTE(INDEX('3.1 Model Assumptions &amp; Inputs'!$E$21:$E$70,MATCH('3.2 Model Logic'!$E27,'3.1 Model Assumptions &amp; Inputs'!$B$21:$B$70,0)),"Base","Low")</f>
        <v>Low</v>
      </c>
      <c r="AD27" s="276">
        <f t="shared" si="17"/>
        <v>0.25</v>
      </c>
      <c r="AE27" s="278">
        <f t="shared" si="8"/>
        <v>0</v>
      </c>
      <c r="AF27" s="275">
        <f t="shared" si="18"/>
        <v>0</v>
      </c>
      <c r="AG27" s="874">
        <f t="shared" si="19"/>
        <v>0</v>
      </c>
      <c r="AH27" s="877">
        <f t="shared" ca="1" si="9"/>
        <v>2.6884537967175612</v>
      </c>
      <c r="AI27" s="958">
        <f t="shared" ca="1" si="20"/>
        <v>1.1362801871554992E-2</v>
      </c>
      <c r="AJ27" s="958">
        <f t="shared" ca="1" si="21"/>
        <v>0.13798087441849147</v>
      </c>
    </row>
    <row r="28" spans="2:38" x14ac:dyDescent="0.35">
      <c r="B28" s="433">
        <f>INDEX('NPS with launch Dates '!$J$6:$J$59,MATCH('3.2 Model Logic'!$E28,'NPS with launch Dates '!$I$6:$I$59,0))</f>
        <v>45506</v>
      </c>
      <c r="C28" s="274" t="str">
        <f>INDEX('Raw Forecasting NPS Data'!$D$6:$D$166,MATCH('3.2 Model Logic'!$E28,'Raw Forecasting NPS Data'!$I$6:$I$166,0))</f>
        <v>Endometrial</v>
      </c>
      <c r="D28" s="274" t="str">
        <f>INDEX('MCODE Final Mapping'!$E$6:$E$76,MATCH('3.2 Model Logic'!$E28,'MCODE Final Mapping'!$D$6:$D$76,0))</f>
        <v>PROMO-US-2024 KEYTRUDA ENDOMETRIAL</v>
      </c>
      <c r="E28" s="684" t="s">
        <v>347</v>
      </c>
      <c r="F28" s="704" t="str">
        <f>INDEX('2.  Sales Data Key &amp; Key-Lyn'!$D$7:$D$60,MATCH('3.2 Model Logic'!$E28,'2.  Sales Data Key &amp; Key-Lyn'!$C$7:$C$60,0))</f>
        <v>Planning Year</v>
      </c>
      <c r="G28" s="705"/>
      <c r="H28" s="961">
        <f>IF(INDEX('2.  Sales Data Key &amp; Key-Lyn'!$W$7:$W$60,MATCH('3.2 Model Logic'!$E28,'2.  Sales Data Key &amp; Key-Lyn'!$C$7:$C$60,0))="-",0,INDEX('2.  Sales Data Key &amp; Key-Lyn'!$W$7:$W$60,MATCH('3.2 Model Logic'!$E28,'2.  Sales Data Key &amp; Key-Lyn'!$C$7:$C$60,0)))</f>
        <v>531.25323321926533</v>
      </c>
      <c r="I28" s="276">
        <f t="shared" si="0"/>
        <v>0.19189450949145656</v>
      </c>
      <c r="J28" s="277">
        <f t="shared" ca="1" si="1"/>
        <v>0.18999456385292729</v>
      </c>
      <c r="K28" s="874">
        <f t="shared" ca="1" si="2"/>
        <v>2.3732066593248984</v>
      </c>
      <c r="L28" s="681">
        <f>SUMIFS('1. NPS Key &amp; Key-Lyn'!$AH$6:$AH$120,'1. NPS Key &amp; Key-Lyn'!$H$6:$H$120,'3.2 Model Logic'!$E28)</f>
        <v>729851729.68406177</v>
      </c>
      <c r="M28" s="276">
        <f t="shared" si="10"/>
        <v>0.60131913693127925</v>
      </c>
      <c r="N28" s="277">
        <f t="shared" ca="1" si="3"/>
        <v>0.59536548211017748</v>
      </c>
      <c r="O28" s="874">
        <f t="shared" ca="1" si="4"/>
        <v>6.2205827281185089</v>
      </c>
      <c r="P28" s="687" t="str">
        <f>IFERROR(INDEX('3.1 Model Assumptions &amp; Inputs'!$F$21:$F$70,MATCH('3.2 Model Logic'!$E28,'3.1 Model Assumptions &amp; Inputs'!$B$21:$B$70,0)),"Low")</f>
        <v>High</v>
      </c>
      <c r="Q28" s="275">
        <v>1</v>
      </c>
      <c r="R28" s="278">
        <f t="shared" si="11"/>
        <v>1</v>
      </c>
      <c r="S28" s="275">
        <f t="shared" si="12"/>
        <v>1</v>
      </c>
      <c r="T28" s="874">
        <f t="shared" si="13"/>
        <v>1.6205569109589042</v>
      </c>
      <c r="U28" s="276">
        <f>IFERROR(INDEX('3.1 Model Assumptions &amp; Inputs'!$L$21:$L$70,MATCH('3.2 Model Logic'!$E28,'3.1 Model Assumptions &amp; Inputs'!$B$21:$B$70,0)),0)</f>
        <v>0.75</v>
      </c>
      <c r="V28" s="275">
        <f t="shared" si="14"/>
        <v>0.75</v>
      </c>
      <c r="W28" s="277">
        <f t="shared" ca="1" si="5"/>
        <v>0.74257425742574268</v>
      </c>
      <c r="X28" s="874">
        <f t="shared" ca="1" si="6"/>
        <v>4.0950226557692311</v>
      </c>
      <c r="Y28" s="690">
        <f>INDEX('3.1 Model Assumptions &amp; Inputs'!$R$21:$R$70,MATCH('3.2 Model Logic'!$E28,'3.1 Model Assumptions &amp; Inputs'!$B$21:$B$70,0))</f>
        <v>2</v>
      </c>
      <c r="Z28" s="275">
        <f t="shared" si="15"/>
        <v>0.5</v>
      </c>
      <c r="AA28" s="277">
        <f t="shared" ca="1" si="7"/>
        <v>0.4950495049504951</v>
      </c>
      <c r="AB28" s="874">
        <f t="shared" ca="1" si="16"/>
        <v>0.53168833483146083</v>
      </c>
      <c r="AC28" s="687" t="str">
        <f>SUBSTITUTE(INDEX('3.1 Model Assumptions &amp; Inputs'!$E$21:$E$70,MATCH('3.2 Model Logic'!$E28,'3.1 Model Assumptions &amp; Inputs'!$B$21:$B$70,0)),"Base","Low")</f>
        <v>Low</v>
      </c>
      <c r="AD28" s="276">
        <f t="shared" si="17"/>
        <v>0.25</v>
      </c>
      <c r="AE28" s="278">
        <f t="shared" si="8"/>
        <v>0</v>
      </c>
      <c r="AF28" s="275">
        <f t="shared" si="18"/>
        <v>0</v>
      </c>
      <c r="AG28" s="874">
        <f t="shared" si="19"/>
        <v>0</v>
      </c>
      <c r="AH28" s="877">
        <f t="shared" ca="1" si="9"/>
        <v>14.841057289003004</v>
      </c>
      <c r="AI28" s="958">
        <f t="shared" ca="1" si="20"/>
        <v>6.272601513376666E-2</v>
      </c>
      <c r="AJ28" s="958">
        <f t="shared" ca="1" si="21"/>
        <v>0.76169509200112662</v>
      </c>
    </row>
    <row r="29" spans="2:38" x14ac:dyDescent="0.35">
      <c r="B29" s="433">
        <f>INDEX('NPS with launch Dates '!$J$6:$J$59,MATCH('3.2 Model Logic'!$E29,'NPS with launch Dates '!$I$6:$I$59,0))</f>
        <v>43101</v>
      </c>
      <c r="C29" s="274" t="str">
        <f>INDEX('Raw Forecasting NPS Data'!$D$6:$D$166,MATCH('3.2 Model Logic'!$E29,'Raw Forecasting NPS Data'!$I$6:$I$166,0))</f>
        <v>Endometrial</v>
      </c>
      <c r="D29" s="274" t="str">
        <f>INDEX('MCODE Final Mapping'!$E$6:$E$76,MATCH('3.2 Model Logic'!$E29,'MCODE Final Mapping'!$D$6:$D$76,0))</f>
        <v>PROMO-US-2024 KEYTRUDA ENDOMETRIAL</v>
      </c>
      <c r="E29" s="684" t="s">
        <v>93</v>
      </c>
      <c r="F29" s="704" t="str">
        <f>INDEX('2.  Sales Data Key &amp; Key-Lyn'!$D$7:$D$60,MATCH('3.2 Model Logic'!$E29,'2.  Sales Data Key &amp; Key-Lyn'!$C$7:$C$60,0))</f>
        <v>Mature</v>
      </c>
      <c r="G29" s="705"/>
      <c r="H29" s="961">
        <f>IF(INDEX('2.  Sales Data Key &amp; Key-Lyn'!$W$7:$W$60,MATCH('3.2 Model Logic'!$E29,'2.  Sales Data Key &amp; Key-Lyn'!$C$7:$C$60,0))="-",0,INDEX('2.  Sales Data Key &amp; Key-Lyn'!$W$7:$W$60,MATCH('3.2 Model Logic'!$E29,'2.  Sales Data Key &amp; Key-Lyn'!$C$7:$C$60,0)))</f>
        <v>48.85</v>
      </c>
      <c r="I29" s="276">
        <f t="shared" si="0"/>
        <v>1.7645157153874078E-2</v>
      </c>
      <c r="J29" s="277">
        <f t="shared" ca="1" si="1"/>
        <v>1.7470452627598096E-2</v>
      </c>
      <c r="K29" s="874">
        <f t="shared" ca="1" si="2"/>
        <v>0.21822200423234461</v>
      </c>
      <c r="L29" s="681">
        <f>SUMIFS('1. NPS Key &amp; Key-Lyn'!$AH$6:$AH$120,'1. NPS Key &amp; Key-Lyn'!$H$6:$H$120,'3.2 Model Logic'!$E29)</f>
        <v>14436703.989744199</v>
      </c>
      <c r="M29" s="276">
        <f t="shared" si="10"/>
        <v>1.1894287606885851E-2</v>
      </c>
      <c r="N29" s="277">
        <f t="shared" ca="1" si="3"/>
        <v>1.1776522383055297E-2</v>
      </c>
      <c r="O29" s="874">
        <f t="shared" ca="1" si="4"/>
        <v>0.12304514442739897</v>
      </c>
      <c r="P29" s="687" t="str">
        <f>IFERROR(INDEX('3.1 Model Assumptions &amp; Inputs'!$F$21:$F$70,MATCH('3.2 Model Logic'!$E29,'3.1 Model Assumptions &amp; Inputs'!$B$21:$B$70,0)),"Low")</f>
        <v>Low</v>
      </c>
      <c r="Q29" s="275">
        <v>1</v>
      </c>
      <c r="R29" s="278">
        <f t="shared" si="11"/>
        <v>0</v>
      </c>
      <c r="S29" s="275">
        <f t="shared" si="12"/>
        <v>0</v>
      </c>
      <c r="T29" s="874">
        <f t="shared" si="13"/>
        <v>0</v>
      </c>
      <c r="U29" s="276">
        <f>IFERROR(INDEX('3.1 Model Assumptions &amp; Inputs'!$L$21:$L$70,MATCH('3.2 Model Logic'!$E29,'3.1 Model Assumptions &amp; Inputs'!$B$21:$B$70,0)),0)</f>
        <v>0</v>
      </c>
      <c r="V29" s="275">
        <f t="shared" si="14"/>
        <v>0</v>
      </c>
      <c r="W29" s="277">
        <f t="shared" ca="1" si="5"/>
        <v>0</v>
      </c>
      <c r="X29" s="874">
        <f t="shared" ca="1" si="6"/>
        <v>0</v>
      </c>
      <c r="Y29" s="690">
        <f>INDEX('3.1 Model Assumptions &amp; Inputs'!$R$21:$R$70,MATCH('3.2 Model Logic'!$E29,'3.1 Model Assumptions &amp; Inputs'!$B$21:$B$70,0))</f>
        <v>2</v>
      </c>
      <c r="Z29" s="275">
        <f t="shared" si="15"/>
        <v>0.5</v>
      </c>
      <c r="AA29" s="277">
        <f t="shared" ca="1" si="7"/>
        <v>0.4950495049504951</v>
      </c>
      <c r="AB29" s="874">
        <f t="shared" ca="1" si="16"/>
        <v>0.53168833483146083</v>
      </c>
      <c r="AC29" s="687" t="str">
        <f>SUBSTITUTE(INDEX('3.1 Model Assumptions &amp; Inputs'!$E$21:$E$70,MATCH('3.2 Model Logic'!$E29,'3.1 Model Assumptions &amp; Inputs'!$B$21:$B$70,0)),"Base","Low")</f>
        <v>Low</v>
      </c>
      <c r="AD29" s="276">
        <f t="shared" si="17"/>
        <v>0.25</v>
      </c>
      <c r="AE29" s="278">
        <f t="shared" si="8"/>
        <v>0</v>
      </c>
      <c r="AF29" s="275">
        <f t="shared" si="18"/>
        <v>0</v>
      </c>
      <c r="AG29" s="874">
        <f t="shared" si="19"/>
        <v>0</v>
      </c>
      <c r="AH29" s="877">
        <f t="shared" ca="1" si="9"/>
        <v>0.87295548349120444</v>
      </c>
      <c r="AI29" s="958">
        <f t="shared" ca="1" si="20"/>
        <v>3.689563203097935E-3</v>
      </c>
      <c r="AJ29" s="958">
        <f t="shared" ca="1" si="21"/>
        <v>4.480313594661621E-2</v>
      </c>
    </row>
    <row r="30" spans="2:38" x14ac:dyDescent="0.35">
      <c r="B30" s="433">
        <f>INDEX('NPS with launch Dates '!$J$6:$J$59,MATCH('3.2 Model Logic'!$E30,'NPS with launch Dates '!$I$6:$I$59,0))</f>
        <v>43101</v>
      </c>
      <c r="C30" s="274" t="str">
        <f>INDEX('Raw Forecasting NPS Data'!$D$6:$D$166,MATCH('3.2 Model Logic'!$E30,'Raw Forecasting NPS Data'!$I$6:$I$166,0))</f>
        <v>Endometrial</v>
      </c>
      <c r="D30" s="274" t="str">
        <f>INDEX('MCODE Final Mapping'!$E$6:$E$76,MATCH('3.2 Model Logic'!$E30,'MCODE Final Mapping'!$D$6:$D$76,0))</f>
        <v>PROMO-US-2024 KEYTRUDA ENDOMETRIAL</v>
      </c>
      <c r="E30" s="684" t="s">
        <v>96</v>
      </c>
      <c r="F30" s="704" t="str">
        <f>INDEX('2.  Sales Data Key &amp; Key-Lyn'!$D$7:$D$60,MATCH('3.2 Model Logic'!$E30,'2.  Sales Data Key &amp; Key-Lyn'!$C$7:$C$60,0))</f>
        <v>Mature</v>
      </c>
      <c r="G30" s="707"/>
      <c r="H30" s="961">
        <f>IF(INDEX('2.  Sales Data Key &amp; Key-Lyn'!$W$7:$W$60,MATCH('3.2 Model Logic'!$E30,'2.  Sales Data Key &amp; Key-Lyn'!$C$7:$C$60,0))="-",0,INDEX('2.  Sales Data Key &amp; Key-Lyn'!$W$7:$W$60,MATCH('3.2 Model Logic'!$E30,'2.  Sales Data Key &amp; Key-Lyn'!$C$7:$C$60,0)))</f>
        <v>78.900000000000006</v>
      </c>
      <c r="I30" s="276">
        <f t="shared" si="0"/>
        <v>2.8499547583227529E-2</v>
      </c>
      <c r="J30" s="277">
        <f t="shared" ca="1" si="1"/>
        <v>2.8217373844779733E-2</v>
      </c>
      <c r="K30" s="874">
        <f t="shared" ca="1" si="2"/>
        <v>0.35246092392900702</v>
      </c>
      <c r="L30" s="681">
        <f>SUMIFS('1. NPS Key &amp; Key-Lyn'!$AH$6:$AH$120,'1. NPS Key &amp; Key-Lyn'!$H$6:$H$120,'3.2 Model Logic'!$E30)</f>
        <v>23188076.444184504</v>
      </c>
      <c r="M30" s="276">
        <f t="shared" si="10"/>
        <v>1.9104474987747699E-2</v>
      </c>
      <c r="N30" s="277">
        <f t="shared" ca="1" si="3"/>
        <v>1.8915321770047226E-2</v>
      </c>
      <c r="O30" s="874">
        <f t="shared" ca="1" si="4"/>
        <v>0.19763376855930156</v>
      </c>
      <c r="P30" s="687" t="str">
        <f>IFERROR(INDEX('3.1 Model Assumptions &amp; Inputs'!$F$21:$F$70,MATCH('3.2 Model Logic'!$E30,'3.1 Model Assumptions &amp; Inputs'!$B$21:$B$70,0)),"Low")</f>
        <v>Low</v>
      </c>
      <c r="Q30" s="275">
        <v>1</v>
      </c>
      <c r="R30" s="278">
        <f t="shared" si="11"/>
        <v>0</v>
      </c>
      <c r="S30" s="275">
        <f t="shared" si="12"/>
        <v>0</v>
      </c>
      <c r="T30" s="874">
        <f t="shared" si="13"/>
        <v>0</v>
      </c>
      <c r="U30" s="276">
        <f>IFERROR(INDEX('3.1 Model Assumptions &amp; Inputs'!$L$21:$L$70,MATCH('3.2 Model Logic'!$E30,'3.1 Model Assumptions &amp; Inputs'!$B$21:$B$70,0)),0)</f>
        <v>0</v>
      </c>
      <c r="V30" s="275">
        <f t="shared" si="14"/>
        <v>0</v>
      </c>
      <c r="W30" s="277">
        <f t="shared" ca="1" si="5"/>
        <v>0</v>
      </c>
      <c r="X30" s="874">
        <f t="shared" ca="1" si="6"/>
        <v>0</v>
      </c>
      <c r="Y30" s="690">
        <f>INDEX('3.1 Model Assumptions &amp; Inputs'!$R$21:$R$70,MATCH('3.2 Model Logic'!$E30,'3.1 Model Assumptions &amp; Inputs'!$B$21:$B$70,0))</f>
        <v>2</v>
      </c>
      <c r="Z30" s="275">
        <f t="shared" si="15"/>
        <v>0.5</v>
      </c>
      <c r="AA30" s="277">
        <f t="shared" ca="1" si="7"/>
        <v>0.4950495049504951</v>
      </c>
      <c r="AB30" s="874">
        <f t="shared" ca="1" si="16"/>
        <v>0.53168833483146083</v>
      </c>
      <c r="AC30" s="687" t="str">
        <f>SUBSTITUTE(INDEX('3.1 Model Assumptions &amp; Inputs'!$E$21:$E$70,MATCH('3.2 Model Logic'!$E30,'3.1 Model Assumptions &amp; Inputs'!$B$21:$B$70,0)),"Base","Low")</f>
        <v>Low</v>
      </c>
      <c r="AD30" s="276">
        <f t="shared" si="17"/>
        <v>0.25</v>
      </c>
      <c r="AE30" s="278">
        <f t="shared" si="8"/>
        <v>0</v>
      </c>
      <c r="AF30" s="275">
        <f t="shared" si="18"/>
        <v>0</v>
      </c>
      <c r="AG30" s="874">
        <f t="shared" si="19"/>
        <v>0</v>
      </c>
      <c r="AH30" s="877">
        <f t="shared" ca="1" si="9"/>
        <v>1.0817830273197693</v>
      </c>
      <c r="AI30" s="958">
        <f t="shared" ca="1" si="20"/>
        <v>4.5721768484373393E-3</v>
      </c>
      <c r="AJ30" s="958">
        <f t="shared" ca="1" si="21"/>
        <v>5.5520897633765762E-2</v>
      </c>
    </row>
    <row r="31" spans="2:38" x14ac:dyDescent="0.35">
      <c r="B31" s="897">
        <f>INDEX('NPS with launch Dates '!$J$6:$J$59,MATCH('3.2 Model Logic'!$E31,'NPS with launch Dates '!$I$6:$I$59,0))</f>
        <v>45324</v>
      </c>
      <c r="C31" s="898" t="str">
        <f>INDEX('Raw Forecasting NPS Data'!$D$6:$D$166,MATCH('3.2 Model Logic'!$E31,'Raw Forecasting NPS Data'!$I$6:$I$166,0))</f>
        <v>Biliary</v>
      </c>
      <c r="D31" s="898" t="str">
        <f>INDEX('MCODE Final Mapping'!$E$6:$E$76,MATCH('3.2 Model Logic'!$E31,'MCODE Final Mapping'!$D$6:$D$76,0))</f>
        <v>PROMO-US-2024 KEYTRUDA GI</v>
      </c>
      <c r="E31" s="899" t="s">
        <v>27</v>
      </c>
      <c r="F31" s="900" t="str">
        <f>INDEX('2.  Sales Data Key &amp; Key-Lyn'!$D$7:$D$60,MATCH('3.2 Model Logic'!$E31,'2.  Sales Data Key &amp; Key-Lyn'!$C$7:$C$60,0))</f>
        <v>Planning Year</v>
      </c>
      <c r="G31" s="901"/>
      <c r="H31" s="960">
        <f>IF(INDEX('2.  Sales Data Key &amp; Key-Lyn'!$W$7:$W$60,MATCH('3.2 Model Logic'!$E31,'2.  Sales Data Key &amp; Key-Lyn'!$C$7:$C$60,0))="-",0,INDEX('2.  Sales Data Key &amp; Key-Lyn'!$W$7:$W$60,MATCH('3.2 Model Logic'!$E31,'2.  Sales Data Key &amp; Key-Lyn'!$C$7:$C$60,0)))</f>
        <v>73.869274183016756</v>
      </c>
      <c r="I31" s="902">
        <f t="shared" si="0"/>
        <v>2.6682394100346854E-2</v>
      </c>
      <c r="J31" s="903">
        <f t="shared" ca="1" si="1"/>
        <v>2.641821198054144E-2</v>
      </c>
      <c r="K31" s="904">
        <f t="shared" ca="1" si="2"/>
        <v>0.32998773927137171</v>
      </c>
      <c r="L31" s="905">
        <f>SUMIFS('1. NPS Key &amp; Key-Lyn'!$AH$6:$AH$120,'1. NPS Key &amp; Key-Lyn'!$H$6:$H$120,'3.2 Model Logic'!$E31)</f>
        <v>112540267.01847169</v>
      </c>
      <c r="M31" s="902">
        <f t="shared" si="10"/>
        <v>9.2721046592377371E-2</v>
      </c>
      <c r="N31" s="903">
        <f t="shared" ca="1" si="3"/>
        <v>9.1803016428096407E-2</v>
      </c>
      <c r="O31" s="904">
        <f t="shared" ca="1" si="4"/>
        <v>0.95918939801101066</v>
      </c>
      <c r="P31" s="906" t="str">
        <f>IFERROR(INDEX('3.1 Model Assumptions &amp; Inputs'!$F$21:$F$70,MATCH('3.2 Model Logic'!$E31,'3.1 Model Assumptions &amp; Inputs'!$B$21:$B$70,0)),"Low")</f>
        <v>Medium</v>
      </c>
      <c r="Q31" s="907">
        <v>1</v>
      </c>
      <c r="R31" s="908">
        <f t="shared" si="11"/>
        <v>0.6</v>
      </c>
      <c r="S31" s="907">
        <f t="shared" si="12"/>
        <v>0.6</v>
      </c>
      <c r="T31" s="904">
        <f t="shared" si="13"/>
        <v>0.97233414657534256</v>
      </c>
      <c r="U31" s="902">
        <f>IFERROR(INDEX('3.1 Model Assumptions &amp; Inputs'!$L$21:$L$70,MATCH('3.2 Model Logic'!$E31,'3.1 Model Assumptions &amp; Inputs'!$B$21:$B$70,0)),0)</f>
        <v>1</v>
      </c>
      <c r="V31" s="907">
        <f t="shared" si="14"/>
        <v>1</v>
      </c>
      <c r="W31" s="903">
        <f t="shared" ca="1" si="5"/>
        <v>0.9900990099009902</v>
      </c>
      <c r="X31" s="904">
        <f t="shared" ca="1" si="6"/>
        <v>5.4600302076923075</v>
      </c>
      <c r="Y31" s="909">
        <f>INDEX('3.1 Model Assumptions &amp; Inputs'!$R$21:$R$70,MATCH('3.2 Model Logic'!$E31,'3.1 Model Assumptions &amp; Inputs'!$B$21:$B$70,0))</f>
        <v>0</v>
      </c>
      <c r="Z31" s="907">
        <f t="shared" si="15"/>
        <v>0</v>
      </c>
      <c r="AA31" s="903">
        <f t="shared" ca="1" si="7"/>
        <v>0</v>
      </c>
      <c r="AB31" s="904">
        <f t="shared" ca="1" si="16"/>
        <v>0</v>
      </c>
      <c r="AC31" s="906" t="str">
        <f>SUBSTITUTE(INDEX('3.1 Model Assumptions &amp; Inputs'!$E$21:$E$70,MATCH('3.2 Model Logic'!$E31,'3.1 Model Assumptions &amp; Inputs'!$B$21:$B$70,0)),"Base","Low")</f>
        <v>Low</v>
      </c>
      <c r="AD31" s="902">
        <v>1</v>
      </c>
      <c r="AE31" s="908">
        <f t="shared" si="8"/>
        <v>0</v>
      </c>
      <c r="AF31" s="907">
        <f t="shared" si="18"/>
        <v>0</v>
      </c>
      <c r="AG31" s="904">
        <f t="shared" si="19"/>
        <v>0</v>
      </c>
      <c r="AH31" s="910">
        <f t="shared" ca="1" si="9"/>
        <v>7.7215414915500329</v>
      </c>
      <c r="AI31" s="957">
        <f t="shared" ca="1" si="20"/>
        <v>3.263524417588929E-2</v>
      </c>
      <c r="AJ31" s="957">
        <f t="shared" ca="1" si="21"/>
        <v>0.2563518660009762</v>
      </c>
      <c r="AL31" s="265">
        <v>1</v>
      </c>
    </row>
    <row r="32" spans="2:38" x14ac:dyDescent="0.35">
      <c r="B32" s="897">
        <f>INDEX('NPS with launch Dates '!$J$6:$J$59,MATCH('3.2 Model Logic'!$E32,'NPS with launch Dates '!$I$6:$I$59,0))</f>
        <v>43101</v>
      </c>
      <c r="C32" s="898" t="str">
        <f>INDEX('Raw Forecasting NPS Data'!$D$6:$D$166,MATCH('3.2 Model Logic'!$E32,'Raw Forecasting NPS Data'!$I$6:$I$166,0))</f>
        <v>CRC</v>
      </c>
      <c r="D32" s="898" t="str">
        <f>INDEX('MCODE Final Mapping'!$E$6:$E$76,MATCH('3.2 Model Logic'!$E32,'MCODE Final Mapping'!$D$6:$D$76,0))</f>
        <v>PROMO-US-2024 KEYTRUDA GI</v>
      </c>
      <c r="E32" s="899" t="s">
        <v>55</v>
      </c>
      <c r="F32" s="900" t="str">
        <f>INDEX('2.  Sales Data Key &amp; Key-Lyn'!$D$7:$D$60,MATCH('3.2 Model Logic'!$E32,'2.  Sales Data Key &amp; Key-Lyn'!$C$7:$C$60,0))</f>
        <v>Mature</v>
      </c>
      <c r="G32" s="901"/>
      <c r="H32" s="960">
        <f>IF(INDEX('2.  Sales Data Key &amp; Key-Lyn'!$W$7:$W$60,MATCH('3.2 Model Logic'!$E32,'2.  Sales Data Key &amp; Key-Lyn'!$C$7:$C$60,0))="-",0,INDEX('2.  Sales Data Key &amp; Key-Lyn'!$W$7:$W$60,MATCH('3.2 Model Logic'!$E32,'2.  Sales Data Key &amp; Key-Lyn'!$C$7:$C$60,0)))</f>
        <v>477.17979399931158</v>
      </c>
      <c r="I32" s="902">
        <f t="shared" si="0"/>
        <v>0.17236258865447515</v>
      </c>
      <c r="J32" s="903">
        <f t="shared" ca="1" si="1"/>
        <v>0.17065602837076749</v>
      </c>
      <c r="K32" s="904">
        <f t="shared" ca="1" si="2"/>
        <v>2.1316505839448743</v>
      </c>
      <c r="L32" s="905">
        <f>SUMIFS('1. NPS Key &amp; Key-Lyn'!$AH$6:$AH$120,'1. NPS Key &amp; Key-Lyn'!$H$6:$H$120,'3.2 Model Logic'!$E32)</f>
        <v>72774835.32786423</v>
      </c>
      <c r="M32" s="902">
        <f t="shared" si="10"/>
        <v>5.9958618154690828E-2</v>
      </c>
      <c r="N32" s="903">
        <f t="shared" ca="1" si="3"/>
        <v>5.9364968469990918E-2</v>
      </c>
      <c r="O32" s="904">
        <f t="shared" ca="1" si="4"/>
        <v>0.62026554883708584</v>
      </c>
      <c r="P32" s="906" t="str">
        <f>IFERROR(INDEX('3.1 Model Assumptions &amp; Inputs'!$F$21:$F$70,MATCH('3.2 Model Logic'!$E32,'3.1 Model Assumptions &amp; Inputs'!$B$21:$B$70,0)),"Low")</f>
        <v>Low</v>
      </c>
      <c r="Q32" s="907">
        <v>1</v>
      </c>
      <c r="R32" s="908">
        <f t="shared" si="11"/>
        <v>0</v>
      </c>
      <c r="S32" s="907">
        <f t="shared" si="12"/>
        <v>0</v>
      </c>
      <c r="T32" s="904">
        <f t="shared" si="13"/>
        <v>0</v>
      </c>
      <c r="U32" s="902">
        <f>IFERROR(INDEX('3.1 Model Assumptions &amp; Inputs'!$L$21:$L$70,MATCH('3.2 Model Logic'!$E32,'3.1 Model Assumptions &amp; Inputs'!$B$21:$B$70,0)),0)</f>
        <v>0</v>
      </c>
      <c r="V32" s="907">
        <f t="shared" si="14"/>
        <v>0</v>
      </c>
      <c r="W32" s="903">
        <f t="shared" ca="1" si="5"/>
        <v>0</v>
      </c>
      <c r="X32" s="904">
        <f t="shared" ca="1" si="6"/>
        <v>0</v>
      </c>
      <c r="Y32" s="909">
        <f>INDEX('3.1 Model Assumptions &amp; Inputs'!$R$21:$R$70,MATCH('3.2 Model Logic'!$E32,'3.1 Model Assumptions &amp; Inputs'!$B$21:$B$70,0))</f>
        <v>1</v>
      </c>
      <c r="Z32" s="907">
        <f t="shared" si="15"/>
        <v>0.25</v>
      </c>
      <c r="AA32" s="903">
        <f t="shared" ca="1" si="7"/>
        <v>0.24752475247524761</v>
      </c>
      <c r="AB32" s="904">
        <f t="shared" ca="1" si="16"/>
        <v>0.26584416741573047</v>
      </c>
      <c r="AC32" s="906" t="str">
        <f>SUBSTITUTE(INDEX('3.1 Model Assumptions &amp; Inputs'!$E$21:$E$70,MATCH('3.2 Model Logic'!$E32,'3.1 Model Assumptions &amp; Inputs'!$B$21:$B$70,0)),"Base","Low")</f>
        <v>Medium</v>
      </c>
      <c r="AD32" s="902">
        <v>0.33</v>
      </c>
      <c r="AE32" s="908">
        <f t="shared" si="8"/>
        <v>0.5</v>
      </c>
      <c r="AF32" s="907">
        <f t="shared" si="18"/>
        <v>0.16500000000000001</v>
      </c>
      <c r="AG32" s="904">
        <f t="shared" si="19"/>
        <v>0.52156601182364704</v>
      </c>
      <c r="AH32" s="910">
        <f t="shared" ca="1" si="9"/>
        <v>3.5393263120213376</v>
      </c>
      <c r="AI32" s="957">
        <f t="shared" ca="1" si="20"/>
        <v>1.4959030983304226E-2</v>
      </c>
      <c r="AJ32" s="957">
        <f t="shared" ca="1" si="21"/>
        <v>0.11750411565694871</v>
      </c>
      <c r="AL32" s="265">
        <v>0.33333333333333331</v>
      </c>
    </row>
    <row r="33" spans="2:38" x14ac:dyDescent="0.35">
      <c r="B33" s="897">
        <f>INDEX('NPS with launch Dates '!$J$6:$J$59,MATCH('3.2 Model Logic'!$E33,'NPS with launch Dates '!$I$6:$I$59,0))</f>
        <v>43101</v>
      </c>
      <c r="C33" s="898" t="str">
        <f>INDEX('Raw Forecasting NPS Data'!$D$6:$D$166,MATCH('3.2 Model Logic'!$E33,'Raw Forecasting NPS Data'!$I$6:$I$166,0))</f>
        <v>CRC</v>
      </c>
      <c r="D33" s="898" t="str">
        <f>INDEX('MCODE Final Mapping'!$E$6:$E$76,MATCH('3.2 Model Logic'!$E33,'MCODE Final Mapping'!$D$6:$D$76,0))</f>
        <v>PROMO-US-2024 KEYTRUDA GI</v>
      </c>
      <c r="E33" s="899" t="s">
        <v>59</v>
      </c>
      <c r="F33" s="900" t="str">
        <f>INDEX('2.  Sales Data Key &amp; Key-Lyn'!$D$7:$D$60,MATCH('3.2 Model Logic'!$E33,'2.  Sales Data Key &amp; Key-Lyn'!$C$7:$C$60,0))</f>
        <v>Mature</v>
      </c>
      <c r="G33" s="901"/>
      <c r="H33" s="960">
        <f>IF(INDEX('2.  Sales Data Key &amp; Key-Lyn'!$W$7:$W$60,MATCH('3.2 Model Logic'!$E33,'2.  Sales Data Key &amp; Key-Lyn'!$C$7:$C$60,0))="-",0,INDEX('2.  Sales Data Key &amp; Key-Lyn'!$W$7:$W$60,MATCH('3.2 Model Logic'!$E33,'2.  Sales Data Key &amp; Key-Lyn'!$C$7:$C$60,0)))</f>
        <v>0</v>
      </c>
      <c r="I33" s="902">
        <f t="shared" si="0"/>
        <v>0</v>
      </c>
      <c r="J33" s="903">
        <f t="shared" ca="1" si="1"/>
        <v>0</v>
      </c>
      <c r="K33" s="904">
        <f t="shared" ca="1" si="2"/>
        <v>0</v>
      </c>
      <c r="L33" s="905">
        <f>SUMIFS('1. NPS Key &amp; Key-Lyn'!$AH$6:$AH$120,'1. NPS Key &amp; Key-Lyn'!$H$6:$H$120,'3.2 Model Logic'!$E33)</f>
        <v>71296210.620789528</v>
      </c>
      <c r="M33" s="902">
        <f t="shared" si="10"/>
        <v>5.8740390812695886E-2</v>
      </c>
      <c r="N33" s="903">
        <f t="shared" ca="1" si="3"/>
        <v>5.8158802784847412E-2</v>
      </c>
      <c r="O33" s="904">
        <f t="shared" ca="1" si="4"/>
        <v>0.60766311612355406</v>
      </c>
      <c r="P33" s="906" t="str">
        <f>IFERROR(INDEX('3.1 Model Assumptions &amp; Inputs'!$F$21:$F$70,MATCH('3.2 Model Logic'!$E33,'3.1 Model Assumptions &amp; Inputs'!$B$21:$B$70,0)),"Low")</f>
        <v>Low</v>
      </c>
      <c r="Q33" s="907">
        <v>1</v>
      </c>
      <c r="R33" s="908">
        <f t="shared" si="11"/>
        <v>0</v>
      </c>
      <c r="S33" s="907">
        <f t="shared" si="12"/>
        <v>0</v>
      </c>
      <c r="T33" s="904">
        <f t="shared" si="13"/>
        <v>0</v>
      </c>
      <c r="U33" s="902">
        <f>IFERROR(INDEX('3.1 Model Assumptions &amp; Inputs'!$L$21:$L$70,MATCH('3.2 Model Logic'!$E33,'3.1 Model Assumptions &amp; Inputs'!$B$21:$B$70,0)),0)</f>
        <v>0</v>
      </c>
      <c r="V33" s="907">
        <f t="shared" si="14"/>
        <v>0</v>
      </c>
      <c r="W33" s="903">
        <f t="shared" ca="1" si="5"/>
        <v>0</v>
      </c>
      <c r="X33" s="904">
        <f t="shared" ca="1" si="6"/>
        <v>0</v>
      </c>
      <c r="Y33" s="909">
        <f>INDEX('3.1 Model Assumptions &amp; Inputs'!$R$21:$R$70,MATCH('3.2 Model Logic'!$E33,'3.1 Model Assumptions &amp; Inputs'!$B$21:$B$70,0))</f>
        <v>1</v>
      </c>
      <c r="Z33" s="907">
        <f t="shared" si="15"/>
        <v>0.25</v>
      </c>
      <c r="AA33" s="903">
        <f t="shared" ca="1" si="7"/>
        <v>0.24752475247524761</v>
      </c>
      <c r="AB33" s="904">
        <f t="shared" ca="1" si="16"/>
        <v>0.26584416741573047</v>
      </c>
      <c r="AC33" s="906" t="str">
        <f>SUBSTITUTE(INDEX('3.1 Model Assumptions &amp; Inputs'!$E$21:$E$70,MATCH('3.2 Model Logic'!$E33,'3.1 Model Assumptions &amp; Inputs'!$B$21:$B$70,0)),"Base","Low")</f>
        <v>Medium</v>
      </c>
      <c r="AD33" s="902">
        <v>0.33</v>
      </c>
      <c r="AE33" s="908">
        <f t="shared" si="8"/>
        <v>0.5</v>
      </c>
      <c r="AF33" s="907">
        <f t="shared" si="18"/>
        <v>0.16500000000000001</v>
      </c>
      <c r="AG33" s="904">
        <f t="shared" si="19"/>
        <v>0.52156601182364704</v>
      </c>
      <c r="AH33" s="910">
        <f t="shared" ca="1" si="9"/>
        <v>1.3950732953629315</v>
      </c>
      <c r="AI33" s="957">
        <f t="shared" ca="1" si="20"/>
        <v>5.896304214288735E-3</v>
      </c>
      <c r="AJ33" s="957">
        <f t="shared" ca="1" si="21"/>
        <v>4.6315835104400564E-2</v>
      </c>
      <c r="AL33" s="265">
        <v>0.33333333333333331</v>
      </c>
    </row>
    <row r="34" spans="2:38" x14ac:dyDescent="0.35">
      <c r="B34" s="897">
        <f>INDEX('NPS with launch Dates '!$J$6:$J$59,MATCH('3.2 Model Logic'!$E34,'NPS with launch Dates '!$I$6:$I$59,0))</f>
        <v>44256</v>
      </c>
      <c r="C34" s="898" t="str">
        <f>INDEX('Raw Forecasting NPS Data'!$D$6:$D$166,MATCH('3.2 Model Logic'!$E34,'Raw Forecasting NPS Data'!$I$6:$I$166,0))</f>
        <v>Esophageal</v>
      </c>
      <c r="D34" s="898" t="str">
        <f>INDEX('MCODE Final Mapping'!$E$6:$E$76,MATCH('3.2 Model Logic'!$E34,'MCODE Final Mapping'!$D$6:$D$76,0))</f>
        <v>PROMO-US-2024 KEYTRUDA GI</v>
      </c>
      <c r="E34" s="899" t="s">
        <v>108</v>
      </c>
      <c r="F34" s="900" t="str">
        <f>INDEX('2.  Sales Data Key &amp; Key-Lyn'!$D$7:$D$60,MATCH('3.2 Model Logic'!$E34,'2.  Sales Data Key &amp; Key-Lyn'!$C$7:$C$60,0))</f>
        <v>Established</v>
      </c>
      <c r="G34" s="901"/>
      <c r="H34" s="960">
        <f>IF(INDEX('2.  Sales Data Key &amp; Key-Lyn'!$W$7:$W$60,MATCH('3.2 Model Logic'!$E34,'2.  Sales Data Key &amp; Key-Lyn'!$C$7:$C$60,0))="-",0,INDEX('2.  Sales Data Key &amp; Key-Lyn'!$W$7:$W$60,MATCH('3.2 Model Logic'!$E34,'2.  Sales Data Key &amp; Key-Lyn'!$C$7:$C$60,0)))</f>
        <v>187.1</v>
      </c>
      <c r="I34" s="902">
        <f t="shared" si="0"/>
        <v>6.7582577348819645E-2</v>
      </c>
      <c r="J34" s="903">
        <f t="shared" ca="1" si="1"/>
        <v>6.6913442919623409E-2</v>
      </c>
      <c r="K34" s="904">
        <f t="shared" ca="1" si="2"/>
        <v>0.83581037854394424</v>
      </c>
      <c r="L34" s="905">
        <f>SUMIFS('1. NPS Key &amp; Key-Lyn'!$AH$6:$AH$120,'1. NPS Key &amp; Key-Lyn'!$H$6:$H$120,'3.2 Model Logic'!$E34)</f>
        <v>144640422.93568423</v>
      </c>
      <c r="M34" s="902">
        <f t="shared" si="10"/>
        <v>0.11916811421781601</v>
      </c>
      <c r="N34" s="903">
        <f t="shared" ca="1" si="3"/>
        <v>0.11798823189882773</v>
      </c>
      <c r="O34" s="904">
        <f t="shared" ca="1" si="4"/>
        <v>1.2327815090483605</v>
      </c>
      <c r="P34" s="906" t="str">
        <f>IFERROR(INDEX('3.1 Model Assumptions &amp; Inputs'!$F$21:$F$70,MATCH('3.2 Model Logic'!$E34,'3.1 Model Assumptions &amp; Inputs'!$B$21:$B$70,0)),"Low")</f>
        <v>Medium</v>
      </c>
      <c r="Q34" s="907">
        <v>1</v>
      </c>
      <c r="R34" s="908">
        <f t="shared" si="11"/>
        <v>0.6</v>
      </c>
      <c r="S34" s="907">
        <f t="shared" si="12"/>
        <v>0.6</v>
      </c>
      <c r="T34" s="904">
        <f t="shared" si="13"/>
        <v>0.97233414657534256</v>
      </c>
      <c r="U34" s="902">
        <f>IFERROR(INDEX('3.1 Model Assumptions &amp; Inputs'!$L$21:$L$70,MATCH('3.2 Model Logic'!$E34,'3.1 Model Assumptions &amp; Inputs'!$B$21:$B$70,0)),0)</f>
        <v>0</v>
      </c>
      <c r="V34" s="907">
        <f t="shared" si="14"/>
        <v>0</v>
      </c>
      <c r="W34" s="903">
        <f t="shared" ca="1" si="5"/>
        <v>0</v>
      </c>
      <c r="X34" s="904">
        <f t="shared" ca="1" si="6"/>
        <v>0</v>
      </c>
      <c r="Y34" s="909">
        <f>INDEX('3.1 Model Assumptions &amp; Inputs'!$R$21:$R$70,MATCH('3.2 Model Logic'!$E34,'3.1 Model Assumptions &amp; Inputs'!$B$21:$B$70,0))</f>
        <v>2</v>
      </c>
      <c r="Z34" s="907">
        <f t="shared" si="15"/>
        <v>0.5</v>
      </c>
      <c r="AA34" s="903">
        <f t="shared" ca="1" si="7"/>
        <v>0.4950495049504951</v>
      </c>
      <c r="AB34" s="904">
        <f t="shared" ca="1" si="16"/>
        <v>0.53168833483146083</v>
      </c>
      <c r="AC34" s="906" t="str">
        <f>SUBSTITUTE(INDEX('3.1 Model Assumptions &amp; Inputs'!$E$21:$E$70,MATCH('3.2 Model Logic'!$E34,'3.1 Model Assumptions &amp; Inputs'!$B$21:$B$70,0)),"Base","Low")</f>
        <v>Low</v>
      </c>
      <c r="AD34" s="902">
        <v>0.5</v>
      </c>
      <c r="AE34" s="908">
        <f t="shared" si="8"/>
        <v>0</v>
      </c>
      <c r="AF34" s="907">
        <f t="shared" si="18"/>
        <v>0</v>
      </c>
      <c r="AG34" s="904">
        <f t="shared" si="19"/>
        <v>0</v>
      </c>
      <c r="AH34" s="910">
        <f t="shared" ca="1" si="9"/>
        <v>3.5726143689991079</v>
      </c>
      <c r="AI34" s="957">
        <f t="shared" ca="1" si="20"/>
        <v>1.509972359873591E-2</v>
      </c>
      <c r="AJ34" s="957">
        <f t="shared" ca="1" si="21"/>
        <v>0.11860926487244366</v>
      </c>
      <c r="AL34" s="265">
        <v>0.5</v>
      </c>
    </row>
    <row r="35" spans="2:38" x14ac:dyDescent="0.35">
      <c r="B35" s="897">
        <f>INDEX('NPS with launch Dates '!$J$6:$J$59,MATCH('3.2 Model Logic'!$E35,'NPS with launch Dates '!$I$6:$I$59,0))</f>
        <v>43678</v>
      </c>
      <c r="C35" s="898" t="str">
        <f>INDEX('Raw Forecasting NPS Data'!$D$6:$D$166,MATCH('3.2 Model Logic'!$E35,'Raw Forecasting NPS Data'!$I$6:$I$166,0))</f>
        <v>Esophageal</v>
      </c>
      <c r="D35" s="898" t="str">
        <f>INDEX('MCODE Final Mapping'!$E$6:$E$76,MATCH('3.2 Model Logic'!$E35,'MCODE Final Mapping'!$D$6:$D$76,0))</f>
        <v>PROMO-US-2024 KEYTRUDA GI</v>
      </c>
      <c r="E35" s="899" t="s">
        <v>110</v>
      </c>
      <c r="F35" s="900" t="str">
        <f>INDEX('2.  Sales Data Key &amp; Key-Lyn'!$D$7:$D$60,MATCH('3.2 Model Logic'!$E35,'2.  Sales Data Key &amp; Key-Lyn'!$C$7:$C$60,0))</f>
        <v>Mature</v>
      </c>
      <c r="G35" s="901"/>
      <c r="H35" s="960">
        <f>IF(INDEX('2.  Sales Data Key &amp; Key-Lyn'!$W$7:$W$60,MATCH('3.2 Model Logic'!$E35,'2.  Sales Data Key &amp; Key-Lyn'!$C$7:$C$60,0))="-",0,INDEX('2.  Sales Data Key &amp; Key-Lyn'!$W$7:$W$60,MATCH('3.2 Model Logic'!$E35,'2.  Sales Data Key &amp; Key-Lyn'!$C$7:$C$60,0)))</f>
        <v>78.349999999999994</v>
      </c>
      <c r="I35" s="902">
        <f t="shared" si="0"/>
        <v>2.8300881535435699E-2</v>
      </c>
      <c r="J35" s="903">
        <f t="shared" ca="1" si="1"/>
        <v>2.8020674787560099E-2</v>
      </c>
      <c r="K35" s="904">
        <f t="shared" ca="1" si="2"/>
        <v>0.35000397198780347</v>
      </c>
      <c r="L35" s="905">
        <f>SUMIFS('1. NPS Key &amp; Key-Lyn'!$AH$6:$AH$120,'1. NPS Key &amp; Key-Lyn'!$H$6:$H$120,'3.2 Model Logic'!$E35)</f>
        <v>58501604.897889405</v>
      </c>
      <c r="M35" s="902">
        <f t="shared" si="10"/>
        <v>4.8199015136295514E-2</v>
      </c>
      <c r="N35" s="903">
        <f t="shared" ca="1" si="3"/>
        <v>4.7721797164649027E-2</v>
      </c>
      <c r="O35" s="904">
        <f t="shared" ca="1" si="4"/>
        <v>0.49861370220024709</v>
      </c>
      <c r="P35" s="906" t="str">
        <f>IFERROR(INDEX('3.1 Model Assumptions &amp; Inputs'!$F$21:$F$70,MATCH('3.2 Model Logic'!$E35,'3.1 Model Assumptions &amp; Inputs'!$B$21:$B$70,0)),"Low")</f>
        <v>Low</v>
      </c>
      <c r="Q35" s="907">
        <v>1</v>
      </c>
      <c r="R35" s="908">
        <f t="shared" si="11"/>
        <v>0</v>
      </c>
      <c r="S35" s="907">
        <f t="shared" si="12"/>
        <v>0</v>
      </c>
      <c r="T35" s="904">
        <f t="shared" si="13"/>
        <v>0</v>
      </c>
      <c r="U35" s="902">
        <f>IFERROR(INDEX('3.1 Model Assumptions &amp; Inputs'!$L$21:$L$70,MATCH('3.2 Model Logic'!$E35,'3.1 Model Assumptions &amp; Inputs'!$B$21:$B$70,0)),0)</f>
        <v>0</v>
      </c>
      <c r="V35" s="907">
        <f t="shared" si="14"/>
        <v>0</v>
      </c>
      <c r="W35" s="903">
        <f t="shared" ca="1" si="5"/>
        <v>0</v>
      </c>
      <c r="X35" s="904">
        <f t="shared" ca="1" si="6"/>
        <v>0</v>
      </c>
      <c r="Y35" s="909">
        <f>INDEX('3.1 Model Assumptions &amp; Inputs'!$R$21:$R$70,MATCH('3.2 Model Logic'!$E35,'3.1 Model Assumptions &amp; Inputs'!$B$21:$B$70,0))</f>
        <v>2</v>
      </c>
      <c r="Z35" s="907">
        <f t="shared" si="15"/>
        <v>0.5</v>
      </c>
      <c r="AA35" s="903">
        <f t="shared" ca="1" si="7"/>
        <v>0.4950495049504951</v>
      </c>
      <c r="AB35" s="904">
        <f t="shared" ca="1" si="16"/>
        <v>0.53168833483146083</v>
      </c>
      <c r="AC35" s="906" t="str">
        <f>SUBSTITUTE(INDEX('3.1 Model Assumptions &amp; Inputs'!$E$21:$E$70,MATCH('3.2 Model Logic'!$E35,'3.1 Model Assumptions &amp; Inputs'!$B$21:$B$70,0)),"Base","Low")</f>
        <v>Low</v>
      </c>
      <c r="AD35" s="902">
        <v>0.5</v>
      </c>
      <c r="AE35" s="908">
        <f t="shared" si="8"/>
        <v>0</v>
      </c>
      <c r="AF35" s="907">
        <f t="shared" si="18"/>
        <v>0</v>
      </c>
      <c r="AG35" s="904">
        <f t="shared" si="19"/>
        <v>0</v>
      </c>
      <c r="AH35" s="910">
        <f t="shared" ca="1" si="9"/>
        <v>1.3803060090195114</v>
      </c>
      <c r="AI35" s="957">
        <f t="shared" ca="1" si="20"/>
        <v>5.8338899934805991E-3</v>
      </c>
      <c r="AJ35" s="957">
        <f t="shared" ca="1" si="21"/>
        <v>4.5825567531008748E-2</v>
      </c>
      <c r="AL35" s="265">
        <v>0.5</v>
      </c>
    </row>
    <row r="36" spans="2:38" x14ac:dyDescent="0.35">
      <c r="B36" s="897">
        <f>INDEX('NPS with launch Dates '!$J$6:$J$59,MATCH('3.2 Model Logic'!$E36,'NPS with launch Dates '!$I$6:$I$59,0))</f>
        <v>45293</v>
      </c>
      <c r="C36" s="898" t="str">
        <f>INDEX('Raw Forecasting NPS Data'!$D$6:$D$166,MATCH('3.2 Model Logic'!$E36,'Raw Forecasting NPS Data'!$I$6:$I$166,0))</f>
        <v>Gastric</v>
      </c>
      <c r="D36" s="898" t="str">
        <f>INDEX('MCODE Final Mapping'!$E$6:$E$76,MATCH('3.2 Model Logic'!$E36,'MCODE Final Mapping'!$D$6:$D$76,0))</f>
        <v>PROMO-US-2024 KEYTRUDA GI</v>
      </c>
      <c r="E36" s="899" t="s">
        <v>122</v>
      </c>
      <c r="F36" s="900" t="str">
        <f>INDEX('2.  Sales Data Key &amp; Key-Lyn'!$D$7:$D$60,MATCH('3.2 Model Logic'!$E36,'2.  Sales Data Key &amp; Key-Lyn'!$C$7:$C$60,0))</f>
        <v>Planning Year</v>
      </c>
      <c r="G36" s="901"/>
      <c r="H36" s="960">
        <f>IF(INDEX('2.  Sales Data Key &amp; Key-Lyn'!$W$7:$W$60,MATCH('3.2 Model Logic'!$E36,'2.  Sales Data Key &amp; Key-Lyn'!$C$7:$C$60,0))="-",0,INDEX('2.  Sales Data Key &amp; Key-Lyn'!$W$7:$W$60,MATCH('3.2 Model Logic'!$E36,'2.  Sales Data Key &amp; Key-Lyn'!$C$7:$C$60,0)))</f>
        <v>35.6</v>
      </c>
      <c r="I36" s="902">
        <f t="shared" si="0"/>
        <v>1.2859111457070976E-2</v>
      </c>
      <c r="J36" s="903">
        <f t="shared" ca="1" si="1"/>
        <v>1.2731793521852452E-2</v>
      </c>
      <c r="K36" s="904">
        <f t="shared" ca="1" si="2"/>
        <v>0.1590317983760792</v>
      </c>
      <c r="L36" s="905">
        <f>SUMIFS('1. NPS Key &amp; Key-Lyn'!$AH$6:$AH$120,'1. NPS Key &amp; Key-Lyn'!$H$6:$H$120,'3.2 Model Logic'!$E36)</f>
        <v>39590924.304440074</v>
      </c>
      <c r="M36" s="902">
        <f t="shared" si="10"/>
        <v>3.2618653165846424E-2</v>
      </c>
      <c r="N36" s="903">
        <f t="shared" ca="1" si="3"/>
        <v>3.2295696203808344E-2</v>
      </c>
      <c r="O36" s="904">
        <f t="shared" ca="1" si="4"/>
        <v>0.33743650922778018</v>
      </c>
      <c r="P36" s="906" t="str">
        <f>IFERROR(INDEX('3.1 Model Assumptions &amp; Inputs'!$F$21:$F$70,MATCH('3.2 Model Logic'!$E36,'3.1 Model Assumptions &amp; Inputs'!$B$21:$B$70,0)),"Low")</f>
        <v>Low</v>
      </c>
      <c r="Q36" s="907">
        <v>1</v>
      </c>
      <c r="R36" s="908">
        <f t="shared" si="11"/>
        <v>0</v>
      </c>
      <c r="S36" s="907">
        <f t="shared" si="12"/>
        <v>0</v>
      </c>
      <c r="T36" s="904">
        <f t="shared" si="13"/>
        <v>0</v>
      </c>
      <c r="U36" s="902">
        <f>IFERROR(INDEX('3.1 Model Assumptions &amp; Inputs'!$L$21:$L$70,MATCH('3.2 Model Logic'!$E36,'3.1 Model Assumptions &amp; Inputs'!$B$21:$B$70,0)),0)</f>
        <v>0.25</v>
      </c>
      <c r="V36" s="907">
        <f t="shared" si="14"/>
        <v>0.25</v>
      </c>
      <c r="W36" s="903">
        <f t="shared" ca="1" si="5"/>
        <v>0.24752475247524752</v>
      </c>
      <c r="X36" s="904">
        <f t="shared" ca="1" si="6"/>
        <v>1.3650075519230767</v>
      </c>
      <c r="Y36" s="909">
        <f>INDEX('3.1 Model Assumptions &amp; Inputs'!$R$21:$R$70,MATCH('3.2 Model Logic'!$E36,'3.1 Model Assumptions &amp; Inputs'!$B$21:$B$70,0))</f>
        <v>2</v>
      </c>
      <c r="Z36" s="907">
        <f t="shared" si="15"/>
        <v>0.5</v>
      </c>
      <c r="AA36" s="903">
        <f t="shared" ca="1" si="7"/>
        <v>0.4950495049504951</v>
      </c>
      <c r="AB36" s="904">
        <f t="shared" ca="1" si="16"/>
        <v>0.53168833483146083</v>
      </c>
      <c r="AC36" s="906" t="str">
        <f>SUBSTITUTE(INDEX('3.1 Model Assumptions &amp; Inputs'!$E$21:$E$70,MATCH('3.2 Model Logic'!$E36,'3.1 Model Assumptions &amp; Inputs'!$B$21:$B$70,0)),"Base","Low")</f>
        <v>High</v>
      </c>
      <c r="AD36" s="902">
        <v>0.33</v>
      </c>
      <c r="AE36" s="908">
        <f t="shared" si="8"/>
        <v>1</v>
      </c>
      <c r="AF36" s="907">
        <f t="shared" si="18"/>
        <v>0.33</v>
      </c>
      <c r="AG36" s="904">
        <f t="shared" si="19"/>
        <v>1.0431320236472941</v>
      </c>
      <c r="AH36" s="910">
        <f t="shared" ca="1" si="9"/>
        <v>3.4362962180056913</v>
      </c>
      <c r="AI36" s="957">
        <f t="shared" ca="1" si="20"/>
        <v>1.4523572301984563E-2</v>
      </c>
      <c r="AJ36" s="957">
        <f t="shared" ca="1" si="21"/>
        <v>0.11408356072189195</v>
      </c>
      <c r="AL36" s="265">
        <v>0.33333333333333331</v>
      </c>
    </row>
    <row r="37" spans="2:38" x14ac:dyDescent="0.35">
      <c r="B37" s="897">
        <f>INDEX('NPS with launch Dates '!$J$6:$J$59,MATCH('3.2 Model Logic'!$E37,'NPS with launch Dates '!$I$6:$I$59,0))</f>
        <v>43800</v>
      </c>
      <c r="C37" s="898" t="str">
        <f>INDEX('Raw Forecasting NPS Data'!$D$6:$D$166,MATCH('3.2 Model Logic'!$E37,'Raw Forecasting NPS Data'!$I$6:$I$166,0))</f>
        <v>Gastric</v>
      </c>
      <c r="D37" s="898" t="str">
        <f>INDEX('MCODE Final Mapping'!$E$6:$E$76,MATCH('3.2 Model Logic'!$E37,'MCODE Final Mapping'!$D$6:$D$76,0))</f>
        <v>PROMO-US-2024 KEYTRUDA GI</v>
      </c>
      <c r="E37" s="899" t="s">
        <v>124</v>
      </c>
      <c r="F37" s="900" t="str">
        <f>INDEX('2.  Sales Data Key &amp; Key-Lyn'!$D$7:$D$60,MATCH('3.2 Model Logic'!$E37,'2.  Sales Data Key &amp; Key-Lyn'!$C$7:$C$60,0))</f>
        <v>Mature</v>
      </c>
      <c r="G37" s="901"/>
      <c r="H37" s="960">
        <f>IF(INDEX('2.  Sales Data Key &amp; Key-Lyn'!$W$7:$W$60,MATCH('3.2 Model Logic'!$E37,'2.  Sales Data Key &amp; Key-Lyn'!$C$7:$C$60,0))="-",0,INDEX('2.  Sales Data Key &amp; Key-Lyn'!$W$7:$W$60,MATCH('3.2 Model Logic'!$E37,'2.  Sales Data Key &amp; Key-Lyn'!$C$7:$C$60,0)))</f>
        <v>46.85399717865657</v>
      </c>
      <c r="I37" s="902">
        <f t="shared" si="0"/>
        <v>1.6924178986787469E-2</v>
      </c>
      <c r="J37" s="903">
        <f t="shared" ca="1" si="1"/>
        <v>1.6756612858205414E-2</v>
      </c>
      <c r="K37" s="904">
        <f t="shared" ca="1" si="2"/>
        <v>0.2093054896749858</v>
      </c>
      <c r="L37" s="905">
        <f>SUMIFS('1. NPS Key &amp; Key-Lyn'!$AH$6:$AH$120,'1. NPS Key &amp; Key-Lyn'!$H$6:$H$120,'3.2 Model Logic'!$E37)</f>
        <v>14964944.35276706</v>
      </c>
      <c r="M37" s="902">
        <f t="shared" si="10"/>
        <v>1.2329500714242152E-2</v>
      </c>
      <c r="N37" s="903">
        <f t="shared" ca="1" si="3"/>
        <v>1.2207426449744705E-2</v>
      </c>
      <c r="O37" s="904">
        <f t="shared" ca="1" si="4"/>
        <v>0.12754737788779988</v>
      </c>
      <c r="P37" s="906" t="str">
        <f>IFERROR(INDEX('3.1 Model Assumptions &amp; Inputs'!$F$21:$F$70,MATCH('3.2 Model Logic'!$E37,'3.1 Model Assumptions &amp; Inputs'!$B$21:$B$70,0)),"Low")</f>
        <v>Low</v>
      </c>
      <c r="Q37" s="907">
        <v>1</v>
      </c>
      <c r="R37" s="908">
        <f t="shared" si="11"/>
        <v>0</v>
      </c>
      <c r="S37" s="907">
        <f t="shared" si="12"/>
        <v>0</v>
      </c>
      <c r="T37" s="904">
        <f t="shared" si="13"/>
        <v>0</v>
      </c>
      <c r="U37" s="902">
        <f>IFERROR(INDEX('3.1 Model Assumptions &amp; Inputs'!$L$21:$L$70,MATCH('3.2 Model Logic'!$E37,'3.1 Model Assumptions &amp; Inputs'!$B$21:$B$70,0)),0)</f>
        <v>0</v>
      </c>
      <c r="V37" s="907">
        <f t="shared" si="14"/>
        <v>0</v>
      </c>
      <c r="W37" s="903">
        <f t="shared" ca="1" si="5"/>
        <v>0</v>
      </c>
      <c r="X37" s="904">
        <f t="shared" ca="1" si="6"/>
        <v>0</v>
      </c>
      <c r="Y37" s="909">
        <f>INDEX('3.1 Model Assumptions &amp; Inputs'!$R$21:$R$70,MATCH('3.2 Model Logic'!$E37,'3.1 Model Assumptions &amp; Inputs'!$B$21:$B$70,0))</f>
        <v>2</v>
      </c>
      <c r="Z37" s="907">
        <f t="shared" si="15"/>
        <v>0.5</v>
      </c>
      <c r="AA37" s="903">
        <f t="shared" ca="1" si="7"/>
        <v>0.4950495049504951</v>
      </c>
      <c r="AB37" s="904">
        <f t="shared" ca="1" si="16"/>
        <v>0.53168833483146083</v>
      </c>
      <c r="AC37" s="906" t="str">
        <f>SUBSTITUTE(INDEX('3.1 Model Assumptions &amp; Inputs'!$E$21:$E$70,MATCH('3.2 Model Logic'!$E37,'3.1 Model Assumptions &amp; Inputs'!$B$21:$B$70,0)),"Base","Low")</f>
        <v>High</v>
      </c>
      <c r="AD37" s="902">
        <v>0.33</v>
      </c>
      <c r="AE37" s="908">
        <f t="shared" si="8"/>
        <v>1</v>
      </c>
      <c r="AF37" s="907">
        <f t="shared" si="18"/>
        <v>0.33</v>
      </c>
      <c r="AG37" s="904">
        <f t="shared" si="19"/>
        <v>1.0431320236472941</v>
      </c>
      <c r="AH37" s="910">
        <f t="shared" ca="1" si="9"/>
        <v>1.9116732260415406</v>
      </c>
      <c r="AI37" s="957">
        <f t="shared" ca="1" si="20"/>
        <v>8.0797237940959162E-3</v>
      </c>
      <c r="AJ37" s="957">
        <f t="shared" ca="1" si="21"/>
        <v>6.3466731249990263E-2</v>
      </c>
      <c r="AL37" s="265">
        <v>0.33333333333333331</v>
      </c>
    </row>
    <row r="38" spans="2:38" x14ac:dyDescent="0.35">
      <c r="B38" s="897">
        <f>INDEX('NPS with launch Dates '!$J$6:$J$59,MATCH('3.2 Model Logic'!$E38,'NPS with launch Dates '!$I$6:$I$59,0))</f>
        <v>43800</v>
      </c>
      <c r="C38" s="898" t="str">
        <f>INDEX('Raw Forecasting NPS Data'!$D$6:$D$166,MATCH('3.2 Model Logic'!$E38,'Raw Forecasting NPS Data'!$I$6:$I$166,0))</f>
        <v>Gastric</v>
      </c>
      <c r="D38" s="898" t="str">
        <f>INDEX('MCODE Final Mapping'!$E$6:$E$76,MATCH('3.2 Model Logic'!$E38,'MCODE Final Mapping'!$D$6:$D$76,0))</f>
        <v>PROMO-US-2024 KEYTRUDA GI</v>
      </c>
      <c r="E38" s="899" t="s">
        <v>126</v>
      </c>
      <c r="F38" s="900" t="str">
        <f>INDEX('2.  Sales Data Key &amp; Key-Lyn'!$D$7:$D$60,MATCH('3.2 Model Logic'!$E38,'2.  Sales Data Key &amp; Key-Lyn'!$C$7:$C$60,0))</f>
        <v>Mature</v>
      </c>
      <c r="G38" s="901"/>
      <c r="H38" s="960">
        <f>IF(INDEX('2.  Sales Data Key &amp; Key-Lyn'!$W$7:$W$60,MATCH('3.2 Model Logic'!$E38,'2.  Sales Data Key &amp; Key-Lyn'!$C$7:$C$60,0))="-",0,INDEX('2.  Sales Data Key &amp; Key-Lyn'!$W$7:$W$60,MATCH('3.2 Model Logic'!$E38,'2.  Sales Data Key &amp; Key-Lyn'!$C$7:$C$60,0)))</f>
        <v>21.3</v>
      </c>
      <c r="I38" s="902">
        <f t="shared" si="0"/>
        <v>7.6937942144834773E-3</v>
      </c>
      <c r="J38" s="903">
        <f t="shared" ca="1" si="1"/>
        <v>7.6176180341420568E-3</v>
      </c>
      <c r="K38" s="904">
        <f t="shared" ca="1" si="2"/>
        <v>9.5151047904788968E-2</v>
      </c>
      <c r="L38" s="905">
        <f>SUMIFS('1. NPS Key &amp; Key-Lyn'!$AH$6:$AH$120,'1. NPS Key &amp; Key-Lyn'!$H$6:$H$120,'3.2 Model Logic'!$E38)</f>
        <v>6111757.0502021182</v>
      </c>
      <c r="M38" s="902">
        <f t="shared" si="10"/>
        <v>5.0354288756047525E-3</v>
      </c>
      <c r="N38" s="903">
        <f t="shared" ca="1" si="3"/>
        <v>4.9855731441631216E-3</v>
      </c>
      <c r="O38" s="904">
        <f t="shared" ca="1" si="4"/>
        <v>5.2090977932464935E-2</v>
      </c>
      <c r="P38" s="906" t="str">
        <f>IFERROR(INDEX('3.1 Model Assumptions &amp; Inputs'!$F$21:$F$70,MATCH('3.2 Model Logic'!$E38,'3.1 Model Assumptions &amp; Inputs'!$B$21:$B$70,0)),"Low")</f>
        <v>Low</v>
      </c>
      <c r="Q38" s="907">
        <v>1</v>
      </c>
      <c r="R38" s="908">
        <f t="shared" si="11"/>
        <v>0</v>
      </c>
      <c r="S38" s="907">
        <f t="shared" si="12"/>
        <v>0</v>
      </c>
      <c r="T38" s="904">
        <f t="shared" si="13"/>
        <v>0</v>
      </c>
      <c r="U38" s="902">
        <f>IFERROR(INDEX('3.1 Model Assumptions &amp; Inputs'!$L$21:$L$70,MATCH('3.2 Model Logic'!$E38,'3.1 Model Assumptions &amp; Inputs'!$B$21:$B$70,0)),0)</f>
        <v>0</v>
      </c>
      <c r="V38" s="907">
        <f t="shared" si="14"/>
        <v>0</v>
      </c>
      <c r="W38" s="903">
        <f t="shared" ca="1" si="5"/>
        <v>0</v>
      </c>
      <c r="X38" s="904">
        <f t="shared" ca="1" si="6"/>
        <v>0</v>
      </c>
      <c r="Y38" s="909">
        <f>INDEX('3.1 Model Assumptions &amp; Inputs'!$R$21:$R$70,MATCH('3.2 Model Logic'!$E38,'3.1 Model Assumptions &amp; Inputs'!$B$21:$B$70,0))</f>
        <v>2</v>
      </c>
      <c r="Z38" s="907">
        <f t="shared" si="15"/>
        <v>0.5</v>
      </c>
      <c r="AA38" s="903">
        <f t="shared" ca="1" si="7"/>
        <v>0.4950495049504951</v>
      </c>
      <c r="AB38" s="904">
        <f t="shared" ca="1" si="16"/>
        <v>0.53168833483146083</v>
      </c>
      <c r="AC38" s="906" t="str">
        <f>SUBSTITUTE(INDEX('3.1 Model Assumptions &amp; Inputs'!$E$21:$E$70,MATCH('3.2 Model Logic'!$E38,'3.1 Model Assumptions &amp; Inputs'!$B$21:$B$70,0)),"Base","Low")</f>
        <v>High</v>
      </c>
      <c r="AD38" s="902">
        <v>0.33</v>
      </c>
      <c r="AE38" s="908">
        <f t="shared" si="8"/>
        <v>1</v>
      </c>
      <c r="AF38" s="907">
        <f t="shared" si="18"/>
        <v>0.33</v>
      </c>
      <c r="AG38" s="904">
        <f t="shared" si="19"/>
        <v>1.0431320236472941</v>
      </c>
      <c r="AH38" s="910">
        <f t="shared" ca="1" si="9"/>
        <v>1.7220623843160088</v>
      </c>
      <c r="AI38" s="957">
        <f t="shared" ca="1" si="20"/>
        <v>7.2783299111671799E-3</v>
      </c>
      <c r="AJ38" s="957">
        <f t="shared" ca="1" si="21"/>
        <v>5.7171732622637382E-2</v>
      </c>
      <c r="AL38" s="265">
        <v>0.33333333333333331</v>
      </c>
    </row>
    <row r="39" spans="2:38" x14ac:dyDescent="0.35">
      <c r="B39" s="897">
        <f>INDEX('NPS with launch Dates '!$J$6:$J$59,MATCH('3.2 Model Logic'!$E39,'NPS with launch Dates '!$I$6:$I$59,0))</f>
        <v>43101</v>
      </c>
      <c r="C39" s="898" t="str">
        <f>INDEX('Raw Forecasting NPS Data'!$D$6:$D$166,MATCH('3.2 Model Logic'!$E39,'Raw Forecasting NPS Data'!$I$6:$I$166,0))</f>
        <v>HCC</v>
      </c>
      <c r="D39" s="898" t="str">
        <f>INDEX('MCODE Final Mapping'!$E$6:$E$76,MATCH('3.2 Model Logic'!$E39,'MCODE Final Mapping'!$D$6:$D$76,0))</f>
        <v>PROMO-US-2024 KEYTRUDA GI</v>
      </c>
      <c r="E39" s="899" t="s">
        <v>133</v>
      </c>
      <c r="F39" s="900" t="str">
        <f>INDEX('2.  Sales Data Key &amp; Key-Lyn'!$D$7:$D$60,MATCH('3.2 Model Logic'!$E39,'2.  Sales Data Key &amp; Key-Lyn'!$C$7:$C$60,0))</f>
        <v>Mature</v>
      </c>
      <c r="G39" s="901"/>
      <c r="H39" s="960">
        <f>IF(INDEX('2.  Sales Data Key &amp; Key-Lyn'!$W$7:$W$60,MATCH('3.2 Model Logic'!$E39,'2.  Sales Data Key &amp; Key-Lyn'!$C$7:$C$60,0))="-",0,INDEX('2.  Sales Data Key &amp; Key-Lyn'!$W$7:$W$60,MATCH('3.2 Model Logic'!$E39,'2.  Sales Data Key &amp; Key-Lyn'!$C$7:$C$60,0)))</f>
        <v>4.6253446621899137</v>
      </c>
      <c r="I39" s="902">
        <f t="shared" si="0"/>
        <v>1.6707253522041685E-3</v>
      </c>
      <c r="J39" s="903">
        <f t="shared" ca="1" si="1"/>
        <v>1.6541835170338301E-3</v>
      </c>
      <c r="K39" s="904">
        <f t="shared" ca="1" si="2"/>
        <v>2.0662271902732034E-2</v>
      </c>
      <c r="L39" s="905">
        <f>SUMIFS('1. NPS Key &amp; Key-Lyn'!$AH$6:$AH$120,'1. NPS Key &amp; Key-Lyn'!$H$6:$H$120,'3.2 Model Logic'!$E39)</f>
        <v>964957.73818045924</v>
      </c>
      <c r="M39" s="902">
        <f t="shared" si="10"/>
        <v>7.9502114018282946E-4</v>
      </c>
      <c r="N39" s="903">
        <f t="shared" ca="1" si="3"/>
        <v>7.871496437453757E-4</v>
      </c>
      <c r="O39" s="904">
        <f t="shared" ca="1" si="4"/>
        <v>8.2244094181815157E-3</v>
      </c>
      <c r="P39" s="906" t="str">
        <f>IFERROR(INDEX('3.1 Model Assumptions &amp; Inputs'!$F$21:$F$70,MATCH('3.2 Model Logic'!$E39,'3.1 Model Assumptions &amp; Inputs'!$B$21:$B$70,0)),"Low")</f>
        <v>Low</v>
      </c>
      <c r="Q39" s="907">
        <v>1</v>
      </c>
      <c r="R39" s="908">
        <f t="shared" si="11"/>
        <v>0</v>
      </c>
      <c r="S39" s="907">
        <f t="shared" si="12"/>
        <v>0</v>
      </c>
      <c r="T39" s="904">
        <f t="shared" si="13"/>
        <v>0</v>
      </c>
      <c r="U39" s="902">
        <f>IFERROR(INDEX('3.1 Model Assumptions &amp; Inputs'!$L$21:$L$70,MATCH('3.2 Model Logic'!$E39,'3.1 Model Assumptions &amp; Inputs'!$B$21:$B$70,0)),0)</f>
        <v>0</v>
      </c>
      <c r="V39" s="907">
        <f t="shared" si="14"/>
        <v>0</v>
      </c>
      <c r="W39" s="903">
        <f t="shared" ca="1" si="5"/>
        <v>0</v>
      </c>
      <c r="X39" s="904">
        <f t="shared" ca="1" si="6"/>
        <v>0</v>
      </c>
      <c r="Y39" s="909">
        <f>INDEX('3.1 Model Assumptions &amp; Inputs'!$R$21:$R$70,MATCH('3.2 Model Logic'!$E39,'3.1 Model Assumptions &amp; Inputs'!$B$21:$B$70,0))</f>
        <v>2</v>
      </c>
      <c r="Z39" s="907">
        <f t="shared" si="15"/>
        <v>0.5</v>
      </c>
      <c r="AA39" s="903">
        <f t="shared" ca="1" si="7"/>
        <v>0.4950495049504951</v>
      </c>
      <c r="AB39" s="904">
        <f t="shared" ca="1" si="16"/>
        <v>0.53168833483146083</v>
      </c>
      <c r="AC39" s="906" t="str">
        <f>SUBSTITUTE(INDEX('3.1 Model Assumptions &amp; Inputs'!$E$21:$E$70,MATCH('3.2 Model Logic'!$E39,'3.1 Model Assumptions &amp; Inputs'!$B$21:$B$70,0)),"Base","Low")</f>
        <v>Low</v>
      </c>
      <c r="AD39" s="902">
        <v>0.5</v>
      </c>
      <c r="AE39" s="908">
        <f t="shared" si="8"/>
        <v>0</v>
      </c>
      <c r="AF39" s="907">
        <f t="shared" si="18"/>
        <v>0</v>
      </c>
      <c r="AG39" s="904">
        <f t="shared" si="19"/>
        <v>0</v>
      </c>
      <c r="AH39" s="910">
        <f t="shared" ca="1" si="9"/>
        <v>0.56057501615237437</v>
      </c>
      <c r="AI39" s="957">
        <f t="shared" ca="1" si="20"/>
        <v>2.3692811274868063E-3</v>
      </c>
      <c r="AJ39" s="957">
        <f t="shared" ca="1" si="21"/>
        <v>1.8610850123832092E-2</v>
      </c>
      <c r="AL39" s="265">
        <v>0.5</v>
      </c>
    </row>
    <row r="40" spans="2:38" x14ac:dyDescent="0.35">
      <c r="B40" s="897">
        <f>INDEX('NPS with launch Dates '!$J$6:$J$59,MATCH('3.2 Model Logic'!$E40,'NPS with launch Dates '!$I$6:$I$59,0))</f>
        <v>45840</v>
      </c>
      <c r="C40" s="898" t="str">
        <f>INDEX('Raw Forecasting NPS Data'!$D$6:$D$166,MATCH('3.2 Model Logic'!$E40,'Raw Forecasting NPS Data'!$I$6:$I$166,0))</f>
        <v>HCC</v>
      </c>
      <c r="D40" s="898" t="str">
        <f>INDEX('MCODE Final Mapping'!$E$6:$E$76,MATCH('3.2 Model Logic'!$E40,'MCODE Final Mapping'!$D$6:$D$76,0))</f>
        <v>PROMO-US-2024 KEYTRUDA GI</v>
      </c>
      <c r="E40" s="899" t="s">
        <v>136</v>
      </c>
      <c r="F40" s="900" t="str">
        <f>INDEX('2.  Sales Data Key &amp; Key-Lyn'!$D$7:$D$60,MATCH('3.2 Model Logic'!$E40,'2.  Sales Data Key &amp; Key-Lyn'!$C$7:$C$60,0))</f>
        <v>Future Launch</v>
      </c>
      <c r="G40" s="901"/>
      <c r="H40" s="960">
        <f>IF(INDEX('2.  Sales Data Key &amp; Key-Lyn'!$W$7:$W$60,MATCH('3.2 Model Logic'!$E40,'2.  Sales Data Key &amp; Key-Lyn'!$C$7:$C$60,0))="-",0,INDEX('2.  Sales Data Key &amp; Key-Lyn'!$W$7:$W$60,MATCH('3.2 Model Logic'!$E40,'2.  Sales Data Key &amp; Key-Lyn'!$C$7:$C$60,0)))</f>
        <v>2.0999999999999996</v>
      </c>
      <c r="I40" s="902">
        <f t="shared" si="0"/>
        <v>7.5854309156879332E-4</v>
      </c>
      <c r="J40" s="903">
        <f t="shared" ca="1" si="1"/>
        <v>7.5103276392949833E-4</v>
      </c>
      <c r="K40" s="904">
        <f t="shared" ca="1" si="2"/>
        <v>9.3810892300496117E-3</v>
      </c>
      <c r="L40" s="905">
        <f>SUMIFS('1. NPS Key &amp; Key-Lyn'!$AH$6:$AH$120,'1. NPS Key &amp; Key-Lyn'!$H$6:$H$120,'3.2 Model Logic'!$E40)</f>
        <v>7812717.6694139987</v>
      </c>
      <c r="M40" s="902">
        <f t="shared" si="10"/>
        <v>6.4368370382480618E-3</v>
      </c>
      <c r="N40" s="903">
        <f t="shared" ca="1" si="3"/>
        <v>6.373105978463427E-3</v>
      </c>
      <c r="O40" s="904">
        <f t="shared" ca="1" si="4"/>
        <v>6.6588396817338275E-2</v>
      </c>
      <c r="P40" s="906" t="str">
        <f>IFERROR(INDEX('3.1 Model Assumptions &amp; Inputs'!$F$21:$F$70,MATCH('3.2 Model Logic'!$E40,'3.1 Model Assumptions &amp; Inputs'!$B$21:$B$70,0)),"Low")</f>
        <v>Low</v>
      </c>
      <c r="Q40" s="907">
        <v>1</v>
      </c>
      <c r="R40" s="908">
        <f t="shared" ref="R40:R59" si="22">IFERROR(VLOOKUP(P40,V7_XYs,2,FALSE),"Error")</f>
        <v>0</v>
      </c>
      <c r="S40" s="907">
        <f t="shared" ref="S40:S59" si="23">+R40*Q40</f>
        <v>0</v>
      </c>
      <c r="T40" s="904">
        <f t="shared" si="13"/>
        <v>0</v>
      </c>
      <c r="U40" s="902">
        <f>IFERROR(INDEX('3.1 Model Assumptions &amp; Inputs'!$L$21:$L$70,MATCH('3.2 Model Logic'!$E40,'3.1 Model Assumptions &amp; Inputs'!$B$21:$B$70,0)),0)</f>
        <v>0</v>
      </c>
      <c r="V40" s="907">
        <f t="shared" si="14"/>
        <v>0</v>
      </c>
      <c r="W40" s="903">
        <f t="shared" ref="W40:W59" ca="1" si="24">FORECAST(V40,OFFSET(V14_Ys,MATCH(V40,V14_Xs,1)-1,0,2), OFFSET(V14_Xs,MATCH(V40,V14_Xs,1)-1,0,2))</f>
        <v>0</v>
      </c>
      <c r="X40" s="904">
        <f t="shared" ca="1" si="6"/>
        <v>0</v>
      </c>
      <c r="Y40" s="909">
        <f>INDEX('3.1 Model Assumptions &amp; Inputs'!$R$21:$R$70,MATCH('3.2 Model Logic'!$E40,'3.1 Model Assumptions &amp; Inputs'!$B$21:$B$70,0))</f>
        <v>3</v>
      </c>
      <c r="Z40" s="907">
        <f t="shared" si="15"/>
        <v>0.75</v>
      </c>
      <c r="AA40" s="903">
        <f t="shared" ca="1" si="7"/>
        <v>0.74257425742574257</v>
      </c>
      <c r="AB40" s="904">
        <f t="shared" ca="1" si="16"/>
        <v>0.79753250224719108</v>
      </c>
      <c r="AC40" s="906" t="str">
        <f>SUBSTITUTE(INDEX('3.1 Model Assumptions &amp; Inputs'!$E$21:$E$70,MATCH('3.2 Model Logic'!$E40,'3.1 Model Assumptions &amp; Inputs'!$B$21:$B$70,0)),"Base","Low")</f>
        <v>Low</v>
      </c>
      <c r="AD40" s="902">
        <v>0.5</v>
      </c>
      <c r="AE40" s="908">
        <f t="shared" ref="AE40:AE59" si="25">IFERROR(VLOOKUP(AC40,V12_XYs,2,FALSE),"Error")</f>
        <v>0</v>
      </c>
      <c r="AF40" s="907">
        <f t="shared" ref="AF40:AF59" si="26">+AE40*AD40</f>
        <v>0</v>
      </c>
      <c r="AG40" s="904">
        <f t="shared" si="19"/>
        <v>0</v>
      </c>
      <c r="AH40" s="910">
        <f t="shared" ca="1" si="9"/>
        <v>0.87350198829457892</v>
      </c>
      <c r="AI40" s="957">
        <f t="shared" ca="1" si="20"/>
        <v>3.6918730161994953E-3</v>
      </c>
      <c r="AJ40" s="957">
        <f t="shared" ca="1" si="21"/>
        <v>2.8999891394733336E-2</v>
      </c>
      <c r="AL40" s="265">
        <v>0.5</v>
      </c>
    </row>
    <row r="41" spans="2:38" s="269" customFormat="1" ht="19" customHeight="1" x14ac:dyDescent="0.35">
      <c r="B41" s="897">
        <f>INDEX('NPS with launch Dates '!$J$6:$J$59,MATCH('3.2 Model Logic'!$E41,'NPS with launch Dates '!$I$6:$I$59,0))</f>
        <v>42878</v>
      </c>
      <c r="C41" s="898" t="str">
        <f>INDEX('Raw Forecasting NPS Data'!$D$6:$D$166,MATCH('3.2 Model Logic'!$E41,'Raw Forecasting NPS Data'!$I$6:$I$166,0))</f>
        <v>MSI High Non CRC Non Endo</v>
      </c>
      <c r="D41" s="898" t="str">
        <f>INDEX('MCODE Final Mapping'!$E$6:$E$76,MATCH('3.2 Model Logic'!$E41,'MCODE Final Mapping'!$D$6:$D$76,0))</f>
        <v>PROMO-US-2024 KEYTRUDA GI</v>
      </c>
      <c r="E41" s="911" t="s">
        <v>216</v>
      </c>
      <c r="F41" s="900" t="str">
        <f>INDEX('2.  Sales Data Key &amp; Key-Lyn'!$D$7:$D$60,MATCH('3.2 Model Logic'!$E41,'2.  Sales Data Key &amp; Key-Lyn'!$C$7:$C$60,0))</f>
        <v>Later Life</v>
      </c>
      <c r="G41" s="901"/>
      <c r="H41" s="960">
        <f>IF(INDEX('2.  Sales Data Key &amp; Key-Lyn'!$W$7:$W$60,MATCH('3.2 Model Logic'!$E41,'2.  Sales Data Key &amp; Key-Lyn'!$C$7:$C$60,0))="-",0,INDEX('2.  Sales Data Key &amp; Key-Lyn'!$W$7:$W$60,MATCH('3.2 Model Logic'!$E41,'2.  Sales Data Key &amp; Key-Lyn'!$C$7:$C$60,0)))</f>
        <v>555.33656924506181</v>
      </c>
      <c r="I41" s="902">
        <f t="shared" si="0"/>
        <v>0.20059367528397931</v>
      </c>
      <c r="J41" s="903">
        <f t="shared" ca="1" si="1"/>
        <v>0.19860759929106864</v>
      </c>
      <c r="K41" s="904">
        <f t="shared" ca="1" si="2"/>
        <v>2.4807913851416914</v>
      </c>
      <c r="L41" s="905">
        <f>SUMIFS('1. NPS Key &amp; Key-Lyn'!$AH$6:$AH$120,'1. NPS Key &amp; Key-Lyn'!$H$6:$H$120,'3.2 Model Logic'!$E41)</f>
        <v>86787801.824983835</v>
      </c>
      <c r="M41" s="902">
        <f t="shared" si="10"/>
        <v>7.1503791752542623E-2</v>
      </c>
      <c r="N41" s="903">
        <f t="shared" ca="1" si="3"/>
        <v>7.079583341835903E-2</v>
      </c>
      <c r="O41" s="904">
        <f t="shared" ca="1" si="4"/>
        <v>0.7396991458492066</v>
      </c>
      <c r="P41" s="906" t="str">
        <f>IFERROR(INDEX('3.1 Model Assumptions &amp; Inputs'!$F$21:$F$70,MATCH('3.2 Model Logic'!$E41,'3.1 Model Assumptions &amp; Inputs'!$B$21:$B$70,0)),"Low")</f>
        <v>Low</v>
      </c>
      <c r="Q41" s="907">
        <v>1</v>
      </c>
      <c r="R41" s="908">
        <f t="shared" si="22"/>
        <v>0</v>
      </c>
      <c r="S41" s="907">
        <f t="shared" si="23"/>
        <v>0</v>
      </c>
      <c r="T41" s="904">
        <f t="shared" si="13"/>
        <v>0</v>
      </c>
      <c r="U41" s="902">
        <f>IFERROR(INDEX('3.1 Model Assumptions &amp; Inputs'!$L$21:$L$70,MATCH('3.2 Model Logic'!$E41,'3.1 Model Assumptions &amp; Inputs'!$B$21:$B$70,0)),0)</f>
        <v>0</v>
      </c>
      <c r="V41" s="907">
        <f t="shared" si="14"/>
        <v>0</v>
      </c>
      <c r="W41" s="903">
        <f t="shared" ca="1" si="24"/>
        <v>0</v>
      </c>
      <c r="X41" s="904">
        <f t="shared" ca="1" si="6"/>
        <v>0</v>
      </c>
      <c r="Y41" s="909">
        <f>INDEX('3.1 Model Assumptions &amp; Inputs'!$R$21:$R$70,MATCH('3.2 Model Logic'!$E41,'3.1 Model Assumptions &amp; Inputs'!$B$21:$B$70,0))</f>
        <v>1</v>
      </c>
      <c r="Z41" s="907">
        <f t="shared" si="15"/>
        <v>0.25</v>
      </c>
      <c r="AA41" s="903">
        <f t="shared" ca="1" si="7"/>
        <v>0.24752475247524761</v>
      </c>
      <c r="AB41" s="904">
        <f t="shared" ca="1" si="16"/>
        <v>0.26584416741573047</v>
      </c>
      <c r="AC41" s="906" t="str">
        <f>SUBSTITUTE(INDEX('3.1 Model Assumptions &amp; Inputs'!$E$21:$E$70,MATCH('3.2 Model Logic'!$E41,'3.1 Model Assumptions &amp; Inputs'!$B$21:$B$70,0)),"Base","Low")</f>
        <v>Medium</v>
      </c>
      <c r="AD41" s="902">
        <v>0.33</v>
      </c>
      <c r="AE41" s="908">
        <f t="shared" si="25"/>
        <v>0.5</v>
      </c>
      <c r="AF41" s="907">
        <f t="shared" si="26"/>
        <v>0.16500000000000001</v>
      </c>
      <c r="AG41" s="904">
        <f t="shared" si="19"/>
        <v>0.52156601182364704</v>
      </c>
      <c r="AH41" s="910">
        <f t="shared" ca="1" si="9"/>
        <v>4.0079007102302757</v>
      </c>
      <c r="AI41" s="957">
        <f t="shared" ca="1" si="20"/>
        <v>1.6939469723011021E-2</v>
      </c>
      <c r="AJ41" s="957">
        <f t="shared" ca="1" si="21"/>
        <v>0.13306058472113719</v>
      </c>
      <c r="AL41" s="269">
        <v>0.33333333333333331</v>
      </c>
    </row>
    <row r="42" spans="2:38" x14ac:dyDescent="0.35">
      <c r="B42" s="433">
        <f>INDEX('NPS with launch Dates '!$J$6:$J$59,MATCH('3.2 Model Logic'!$E42,'NPS with launch Dates '!$I$6:$I$59,0))</f>
        <v>43984</v>
      </c>
      <c r="C42" s="274" t="str">
        <f>INDEX('Raw Forecasting NPS Data'!$D$6:$D$166,MATCH('3.2 Model Logic'!$E42,'Raw Forecasting NPS Data'!$I$6:$I$166,0))</f>
        <v>cSCC</v>
      </c>
      <c r="D42" s="274" t="str">
        <f>INDEX('MCODE Final Mapping'!$E$6:$E$76,MATCH('3.2 Model Logic'!$E42,'MCODE Final Mapping'!$D$6:$D$76,0))</f>
        <v>PROMO-US-2024 KEYTRUDA H&amp;N</v>
      </c>
      <c r="E42" s="684" t="s">
        <v>64</v>
      </c>
      <c r="F42" s="704" t="str">
        <f>INDEX('2.  Sales Data Key &amp; Key-Lyn'!$D$7:$D$60,MATCH('3.2 Model Logic'!$E42,'2.  Sales Data Key &amp; Key-Lyn'!$C$7:$C$60,0))</f>
        <v>Mature</v>
      </c>
      <c r="G42" s="705"/>
      <c r="H42" s="961">
        <f>IF(INDEX('2.  Sales Data Key &amp; Key-Lyn'!$W$7:$W$60,MATCH('3.2 Model Logic'!$E42,'2.  Sales Data Key &amp; Key-Lyn'!$C$7:$C$60,0))="-",0,INDEX('2.  Sales Data Key &amp; Key-Lyn'!$W$7:$W$60,MATCH('3.2 Model Logic'!$E42,'2.  Sales Data Key &amp; Key-Lyn'!$C$7:$C$60,0)))</f>
        <v>118.05172007746317</v>
      </c>
      <c r="I42" s="276">
        <f t="shared" ref="I42:I59" si="27">+H42/MAX(H$10:H$59)</f>
        <v>4.2641579386939396E-2</v>
      </c>
      <c r="J42" s="277">
        <f t="shared" ref="J42:J59" ca="1" si="28">FORECAST(I42,OFFSET(V1_Ys,MATCH(I42,V1_Xs,1)-1,0,2), OFFSET(V1_Xs,MATCH(I42,V1_Xs,1)-1,0,2))</f>
        <v>4.2219385531623167E-2</v>
      </c>
      <c r="K42" s="874">
        <f t="shared" ref="K42:K59" ca="1" si="29">+J42/SUM($J$10:$J$59)*$H$6</f>
        <v>0.527358914194058</v>
      </c>
      <c r="L42" s="681">
        <f>SUMIFS('1. NPS Key &amp; Key-Lyn'!$AH$6:$AH$120,'1. NPS Key &amp; Key-Lyn'!$H$6:$H$120,'3.2 Model Logic'!$E42)</f>
        <v>37061825.24998901</v>
      </c>
      <c r="M42" s="276">
        <f t="shared" si="10"/>
        <v>3.0534948217589949E-2</v>
      </c>
      <c r="N42" s="277">
        <f t="shared" ca="1" si="3"/>
        <v>3.0232621997613809E-2</v>
      </c>
      <c r="O42" s="874">
        <f t="shared" ref="O42:O59" ca="1" si="30">+N42/SUM($N$10:$N$59)*$L$6</f>
        <v>0.31588080242329064</v>
      </c>
      <c r="P42" s="687" t="str">
        <f>IFERROR(INDEX('3.1 Model Assumptions &amp; Inputs'!$F$21:$F$70,MATCH('3.2 Model Logic'!$E42,'3.1 Model Assumptions &amp; Inputs'!$B$21:$B$70,0)),"Low")</f>
        <v>Low</v>
      </c>
      <c r="Q42" s="275">
        <v>1</v>
      </c>
      <c r="R42" s="278">
        <f t="shared" si="22"/>
        <v>0</v>
      </c>
      <c r="S42" s="275">
        <f t="shared" si="23"/>
        <v>0</v>
      </c>
      <c r="T42" s="874">
        <f t="shared" si="13"/>
        <v>0</v>
      </c>
      <c r="U42" s="276">
        <f>IFERROR(INDEX('3.1 Model Assumptions &amp; Inputs'!$L$21:$L$70,MATCH('3.2 Model Logic'!$E42,'3.1 Model Assumptions &amp; Inputs'!$B$21:$B$70,0)),0)</f>
        <v>0</v>
      </c>
      <c r="V42" s="275">
        <f t="shared" si="14"/>
        <v>0</v>
      </c>
      <c r="W42" s="277">
        <f t="shared" ca="1" si="24"/>
        <v>0</v>
      </c>
      <c r="X42" s="874">
        <f t="shared" ref="X42:X59" ca="1" si="31">+W42/SUM($W$10:$W$59)*$U$6</f>
        <v>0</v>
      </c>
      <c r="Y42" s="690">
        <f>INDEX('3.1 Model Assumptions &amp; Inputs'!$R$21:$R$70,MATCH('3.2 Model Logic'!$E42,'3.1 Model Assumptions &amp; Inputs'!$B$21:$B$70,0))</f>
        <v>0</v>
      </c>
      <c r="Z42" s="275">
        <f t="shared" si="15"/>
        <v>0</v>
      </c>
      <c r="AA42" s="277">
        <f t="shared" ref="AA42:AA59" ca="1" si="32">FORECAST(Z42,OFFSET(V11_Ys,MATCH(Z42,V11_Xs,1)-1,0,2), OFFSET(V11_Xs,MATCH(Z42,V11_Xs,1)-1,0,2))</f>
        <v>0</v>
      </c>
      <c r="AB42" s="874">
        <f t="shared" ca="1" si="16"/>
        <v>0</v>
      </c>
      <c r="AC42" s="687" t="str">
        <f>SUBSTITUTE(INDEX('3.1 Model Assumptions &amp; Inputs'!$E$21:$E$70,MATCH('3.2 Model Logic'!$E42,'3.1 Model Assumptions &amp; Inputs'!$B$21:$B$70,0)),"Base","Low")</f>
        <v>Medium</v>
      </c>
      <c r="AD42" s="276">
        <f t="shared" si="17"/>
        <v>0.25</v>
      </c>
      <c r="AE42" s="278">
        <f t="shared" si="25"/>
        <v>0.5</v>
      </c>
      <c r="AF42" s="275">
        <f t="shared" si="26"/>
        <v>0.125</v>
      </c>
      <c r="AG42" s="874">
        <f t="shared" si="19"/>
        <v>0.39512576653306591</v>
      </c>
      <c r="AH42" s="877">
        <f t="shared" ref="AH42:AH59" ca="1" si="33">+K42+O42+T42+X42+AB42+AG42</f>
        <v>1.2383654831504145</v>
      </c>
      <c r="AI42" s="958">
        <f t="shared" ca="1" si="20"/>
        <v>5.2339756207790645E-3</v>
      </c>
      <c r="AJ42" s="958">
        <f t="shared" ca="1" si="21"/>
        <v>0.1119875820774362</v>
      </c>
    </row>
    <row r="43" spans="2:38" x14ac:dyDescent="0.35">
      <c r="B43" s="433">
        <f>INDEX('NPS with launch Dates '!$J$6:$J$59,MATCH('3.2 Model Logic'!$E43,'NPS with launch Dates '!$I$6:$I$59,0))</f>
        <v>43101</v>
      </c>
      <c r="C43" s="274" t="str">
        <f>INDEX('Raw Forecasting NPS Data'!$D$6:$D$166,MATCH('3.2 Model Logic'!$E43,'Raw Forecasting NPS Data'!$I$6:$I$166,0))</f>
        <v>Head &amp; Neck</v>
      </c>
      <c r="D43" s="274" t="str">
        <f>INDEX('MCODE Final Mapping'!$E$6:$E$76,MATCH('3.2 Model Logic'!$E43,'MCODE Final Mapping'!$D$6:$D$76,0))</f>
        <v>PROMO-US-2024 KEYTRUDA H&amp;N</v>
      </c>
      <c r="E43" s="684" t="s">
        <v>149</v>
      </c>
      <c r="F43" s="704" t="str">
        <f>INDEX('2.  Sales Data Key &amp; Key-Lyn'!$D$7:$D$60,MATCH('3.2 Model Logic'!$E43,'2.  Sales Data Key &amp; Key-Lyn'!$C$7:$C$60,0))</f>
        <v>Mature</v>
      </c>
      <c r="G43" s="705"/>
      <c r="H43" s="961">
        <f>IF(INDEX('2.  Sales Data Key &amp; Key-Lyn'!$W$7:$W$60,MATCH('3.2 Model Logic'!$E43,'2.  Sales Data Key &amp; Key-Lyn'!$C$7:$C$60,0))="-",0,INDEX('2.  Sales Data Key &amp; Key-Lyn'!$W$7:$W$60,MATCH('3.2 Model Logic'!$E43,'2.  Sales Data Key &amp; Key-Lyn'!$C$7:$C$60,0)))</f>
        <v>888.19450437018077</v>
      </c>
      <c r="I43" s="276">
        <f t="shared" si="27"/>
        <v>0.32082562155208055</v>
      </c>
      <c r="J43" s="277">
        <f t="shared" ca="1" si="28"/>
        <v>0.31764913024958469</v>
      </c>
      <c r="K43" s="874">
        <f t="shared" ca="1" si="29"/>
        <v>3.9677294757792176</v>
      </c>
      <c r="L43" s="681">
        <f>SUMIFS('1. NPS Key &amp; Key-Lyn'!$AH$6:$AH$120,'1. NPS Key &amp; Key-Lyn'!$H$6:$H$120,'3.2 Model Logic'!$E43)</f>
        <v>219159723.11819494</v>
      </c>
      <c r="M43" s="276">
        <f t="shared" si="10"/>
        <v>0.180563983334777</v>
      </c>
      <c r="N43" s="277">
        <f t="shared" ca="1" si="3"/>
        <v>0.17877622112354166</v>
      </c>
      <c r="O43" s="874">
        <f t="shared" ca="1" si="30"/>
        <v>1.8679152667329082</v>
      </c>
      <c r="P43" s="687" t="str">
        <f>IFERROR(INDEX('3.1 Model Assumptions &amp; Inputs'!$F$21:$F$70,MATCH('3.2 Model Logic'!$E43,'3.1 Model Assumptions &amp; Inputs'!$B$21:$B$70,0)),"Low")</f>
        <v>High</v>
      </c>
      <c r="Q43" s="275">
        <v>1</v>
      </c>
      <c r="R43" s="278">
        <f t="shared" si="22"/>
        <v>1</v>
      </c>
      <c r="S43" s="275">
        <f t="shared" si="23"/>
        <v>1</v>
      </c>
      <c r="T43" s="874">
        <f t="shared" si="13"/>
        <v>1.6205569109589042</v>
      </c>
      <c r="U43" s="276">
        <f>IFERROR(INDEX('3.1 Model Assumptions &amp; Inputs'!$L$21:$L$70,MATCH('3.2 Model Logic'!$E43,'3.1 Model Assumptions &amp; Inputs'!$B$21:$B$70,0)),0)</f>
        <v>0</v>
      </c>
      <c r="V43" s="275">
        <f t="shared" si="14"/>
        <v>0</v>
      </c>
      <c r="W43" s="277">
        <f t="shared" ca="1" si="24"/>
        <v>0</v>
      </c>
      <c r="X43" s="874">
        <f t="shared" ca="1" si="31"/>
        <v>0</v>
      </c>
      <c r="Y43" s="690">
        <f>INDEX('3.1 Model Assumptions &amp; Inputs'!$R$21:$R$70,MATCH('3.2 Model Logic'!$E43,'3.1 Model Assumptions &amp; Inputs'!$B$21:$B$70,0))</f>
        <v>0</v>
      </c>
      <c r="Z43" s="275">
        <f t="shared" si="15"/>
        <v>0</v>
      </c>
      <c r="AA43" s="277">
        <f t="shared" ca="1" si="32"/>
        <v>0</v>
      </c>
      <c r="AB43" s="874">
        <f t="shared" ca="1" si="16"/>
        <v>0</v>
      </c>
      <c r="AC43" s="687" t="str">
        <f>SUBSTITUTE(INDEX('3.1 Model Assumptions &amp; Inputs'!$E$21:$E$70,MATCH('3.2 Model Logic'!$E43,'3.1 Model Assumptions &amp; Inputs'!$B$21:$B$70,0)),"Base","Low")</f>
        <v>Medium</v>
      </c>
      <c r="AD43" s="276">
        <f t="shared" si="17"/>
        <v>0.25</v>
      </c>
      <c r="AE43" s="278">
        <f t="shared" si="25"/>
        <v>0.5</v>
      </c>
      <c r="AF43" s="275">
        <f t="shared" si="26"/>
        <v>0.125</v>
      </c>
      <c r="AG43" s="874">
        <f t="shared" si="19"/>
        <v>0.39512576653306591</v>
      </c>
      <c r="AH43" s="877">
        <f t="shared" ca="1" si="33"/>
        <v>7.8513274200040959</v>
      </c>
      <c r="AI43" s="958">
        <f t="shared" ca="1" si="20"/>
        <v>3.3183786907975618E-2</v>
      </c>
      <c r="AJ43" s="958">
        <f t="shared" ca="1" si="21"/>
        <v>0.71000943245584502</v>
      </c>
    </row>
    <row r="44" spans="2:38" x14ac:dyDescent="0.35">
      <c r="B44" s="433">
        <f>INDEX('NPS with launch Dates '!$J$6:$J$59,MATCH('3.2 Model Logic'!$E44,'NPS with launch Dates '!$I$6:$I$59,0))</f>
        <v>43101</v>
      </c>
      <c r="C44" s="274" t="str">
        <f>INDEX('Raw Forecasting NPS Data'!$D$6:$D$166,MATCH('3.2 Model Logic'!$E44,'Raw Forecasting NPS Data'!$I$6:$I$166,0))</f>
        <v>Head &amp; Neck</v>
      </c>
      <c r="D44" s="274" t="str">
        <f>INDEX('MCODE Final Mapping'!$E$6:$E$76,MATCH('3.2 Model Logic'!$E44,'MCODE Final Mapping'!$D$6:$D$76,0))</f>
        <v>PROMO-US-2024 KEYTRUDA H&amp;N</v>
      </c>
      <c r="E44" s="684" t="s">
        <v>153</v>
      </c>
      <c r="F44" s="704" t="str">
        <f>INDEX('2.  Sales Data Key &amp; Key-Lyn'!$D$7:$D$60,MATCH('3.2 Model Logic'!$E44,'2.  Sales Data Key &amp; Key-Lyn'!$C$7:$C$60,0))</f>
        <v>Mature</v>
      </c>
      <c r="G44" s="705"/>
      <c r="H44" s="961">
        <f>IF(INDEX('2.  Sales Data Key &amp; Key-Lyn'!$W$7:$W$60,MATCH('3.2 Model Logic'!$E44,'2.  Sales Data Key &amp; Key-Lyn'!$C$7:$C$60,0))="-",0,INDEX('2.  Sales Data Key &amp; Key-Lyn'!$W$7:$W$60,MATCH('3.2 Model Logic'!$E44,'2.  Sales Data Key &amp; Key-Lyn'!$C$7:$C$60,0)))</f>
        <v>0</v>
      </c>
      <c r="I44" s="276">
        <f t="shared" si="27"/>
        <v>0</v>
      </c>
      <c r="J44" s="277">
        <f t="shared" ca="1" si="28"/>
        <v>0</v>
      </c>
      <c r="K44" s="874">
        <f t="shared" ca="1" si="29"/>
        <v>0</v>
      </c>
      <c r="L44" s="681">
        <f>SUMIFS('1. NPS Key &amp; Key-Lyn'!$AH$6:$AH$120,'1. NPS Key &amp; Key-Lyn'!$H$6:$H$120,'3.2 Model Logic'!$E44)</f>
        <v>54497605.202096142</v>
      </c>
      <c r="M44" s="276">
        <f t="shared" si="10"/>
        <v>4.4900151074700773E-2</v>
      </c>
      <c r="N44" s="277">
        <f t="shared" ca="1" si="3"/>
        <v>4.4455595123466113E-2</v>
      </c>
      <c r="O44" s="874">
        <f t="shared" ca="1" si="30"/>
        <v>0.46448730318242853</v>
      </c>
      <c r="P44" s="687" t="str">
        <f>IFERROR(INDEX('3.1 Model Assumptions &amp; Inputs'!$F$21:$F$70,MATCH('3.2 Model Logic'!$E44,'3.1 Model Assumptions &amp; Inputs'!$B$21:$B$70,0)),"Low")</f>
        <v>Low</v>
      </c>
      <c r="Q44" s="275">
        <v>1</v>
      </c>
      <c r="R44" s="278">
        <f t="shared" si="22"/>
        <v>0</v>
      </c>
      <c r="S44" s="275">
        <f t="shared" si="23"/>
        <v>0</v>
      </c>
      <c r="T44" s="874">
        <f t="shared" si="13"/>
        <v>0</v>
      </c>
      <c r="U44" s="276">
        <f>IFERROR(INDEX('3.1 Model Assumptions &amp; Inputs'!$L$21:$L$70,MATCH('3.2 Model Logic'!$E44,'3.1 Model Assumptions &amp; Inputs'!$B$21:$B$70,0)),0)</f>
        <v>0</v>
      </c>
      <c r="V44" s="275">
        <f t="shared" si="14"/>
        <v>0</v>
      </c>
      <c r="W44" s="277">
        <f t="shared" ca="1" si="24"/>
        <v>0</v>
      </c>
      <c r="X44" s="874">
        <f t="shared" ca="1" si="31"/>
        <v>0</v>
      </c>
      <c r="Y44" s="690">
        <f>INDEX('3.1 Model Assumptions &amp; Inputs'!$R$21:$R$70,MATCH('3.2 Model Logic'!$E44,'3.1 Model Assumptions &amp; Inputs'!$B$21:$B$70,0))</f>
        <v>0</v>
      </c>
      <c r="Z44" s="275">
        <f t="shared" si="15"/>
        <v>0</v>
      </c>
      <c r="AA44" s="277">
        <f t="shared" ca="1" si="32"/>
        <v>0</v>
      </c>
      <c r="AB44" s="874">
        <f t="shared" ca="1" si="16"/>
        <v>0</v>
      </c>
      <c r="AC44" s="687" t="str">
        <f>SUBSTITUTE(INDEX('3.1 Model Assumptions &amp; Inputs'!$E$21:$E$70,MATCH('3.2 Model Logic'!$E44,'3.1 Model Assumptions &amp; Inputs'!$B$21:$B$70,0)),"Base","Low")</f>
        <v>Medium</v>
      </c>
      <c r="AD44" s="276">
        <f t="shared" si="17"/>
        <v>0.25</v>
      </c>
      <c r="AE44" s="278">
        <f t="shared" si="25"/>
        <v>0.5</v>
      </c>
      <c r="AF44" s="275">
        <f t="shared" si="26"/>
        <v>0.125</v>
      </c>
      <c r="AG44" s="874">
        <f t="shared" si="19"/>
        <v>0.39512576653306591</v>
      </c>
      <c r="AH44" s="877">
        <f t="shared" ca="1" si="33"/>
        <v>0.85961306971549445</v>
      </c>
      <c r="AI44" s="958">
        <f t="shared" ca="1" si="20"/>
        <v>3.6331712337039279E-3</v>
      </c>
      <c r="AJ44" s="958">
        <f t="shared" ca="1" si="21"/>
        <v>7.7736331082726207E-2</v>
      </c>
    </row>
    <row r="45" spans="2:38" x14ac:dyDescent="0.35">
      <c r="B45" s="433">
        <f>INDEX('NPS with launch Dates '!$J$6:$J$59,MATCH('3.2 Model Logic'!$E45,'NPS with launch Dates '!$I$6:$I$59,0))</f>
        <v>45871</v>
      </c>
      <c r="C45" s="274" t="str">
        <f>INDEX('Raw Forecasting NPS Data'!$D$6:$D$166,MATCH('3.2 Model Logic'!$E45,'Raw Forecasting NPS Data'!$I$6:$I$166,0))</f>
        <v>Head &amp; Neck</v>
      </c>
      <c r="D45" s="274" t="str">
        <f>INDEX('MCODE Final Mapping'!$E$6:$E$76,MATCH('3.2 Model Logic'!$E45,'MCODE Final Mapping'!$D$6:$D$76,0))</f>
        <v>PROMO-US-2024 KEYTRUDA H&amp;N</v>
      </c>
      <c r="E45" s="684" t="s">
        <v>156</v>
      </c>
      <c r="F45" s="704" t="str">
        <f>INDEX('2.  Sales Data Key &amp; Key-Lyn'!$D$7:$D$60,MATCH('3.2 Model Logic'!$E45,'2.  Sales Data Key &amp; Key-Lyn'!$C$7:$C$60,0))</f>
        <v>Future Launch</v>
      </c>
      <c r="G45" s="705"/>
      <c r="H45" s="961">
        <f>IF(INDEX('2.  Sales Data Key &amp; Key-Lyn'!$W$7:$W$60,MATCH('3.2 Model Logic'!$E45,'2.  Sales Data Key &amp; Key-Lyn'!$C$7:$C$60,0))="-",0,INDEX('2.  Sales Data Key &amp; Key-Lyn'!$W$7:$W$60,MATCH('3.2 Model Logic'!$E45,'2.  Sales Data Key &amp; Key-Lyn'!$C$7:$C$60,0)))</f>
        <v>13.162737552167991</v>
      </c>
      <c r="I45" s="276">
        <f t="shared" si="27"/>
        <v>4.7545255411096006E-3</v>
      </c>
      <c r="J45" s="277">
        <f t="shared" ca="1" si="28"/>
        <v>4.7074510308015849E-3</v>
      </c>
      <c r="K45" s="874">
        <f t="shared" ca="1" si="29"/>
        <v>5.8800388327910846E-2</v>
      </c>
      <c r="L45" s="681">
        <f>SUMIFS('1. NPS Key &amp; Key-Lyn'!$AH$6:$AH$120,'1. NPS Key &amp; Key-Lyn'!$H$6:$H$120,'3.2 Model Logic'!$E45)</f>
        <v>45638965.344227687</v>
      </c>
      <c r="M45" s="276">
        <f t="shared" si="10"/>
        <v>3.760158691835578E-2</v>
      </c>
      <c r="N45" s="277">
        <f t="shared" ca="1" si="3"/>
        <v>3.7229293978570076E-2</v>
      </c>
      <c r="O45" s="874">
        <f t="shared" ca="1" si="30"/>
        <v>0.38898443067662114</v>
      </c>
      <c r="P45" s="687" t="str">
        <f>IFERROR(INDEX('3.1 Model Assumptions &amp; Inputs'!$F$21:$F$70,MATCH('3.2 Model Logic'!$E45,'3.1 Model Assumptions &amp; Inputs'!$B$21:$B$70,0)),"Low")</f>
        <v>Low</v>
      </c>
      <c r="Q45" s="275">
        <v>1</v>
      </c>
      <c r="R45" s="278">
        <f t="shared" si="22"/>
        <v>0</v>
      </c>
      <c r="S45" s="275">
        <f t="shared" si="23"/>
        <v>0</v>
      </c>
      <c r="T45" s="874">
        <f t="shared" si="13"/>
        <v>0</v>
      </c>
      <c r="U45" s="276">
        <f>IFERROR(INDEX('3.1 Model Assumptions &amp; Inputs'!$L$21:$L$70,MATCH('3.2 Model Logic'!$E45,'3.1 Model Assumptions &amp; Inputs'!$B$21:$B$70,0)),0)</f>
        <v>0</v>
      </c>
      <c r="V45" s="275">
        <f t="shared" si="14"/>
        <v>0</v>
      </c>
      <c r="W45" s="277">
        <f t="shared" ca="1" si="24"/>
        <v>0</v>
      </c>
      <c r="X45" s="874">
        <f t="shared" ca="1" si="31"/>
        <v>0</v>
      </c>
      <c r="Y45" s="690">
        <f>INDEX('3.1 Model Assumptions &amp; Inputs'!$R$21:$R$70,MATCH('3.2 Model Logic'!$E45,'3.1 Model Assumptions &amp; Inputs'!$B$21:$B$70,0))</f>
        <v>1</v>
      </c>
      <c r="Z45" s="275">
        <f t="shared" si="15"/>
        <v>0.25</v>
      </c>
      <c r="AA45" s="277">
        <f t="shared" ca="1" si="32"/>
        <v>0.24752475247524761</v>
      </c>
      <c r="AB45" s="874">
        <f t="shared" ca="1" si="16"/>
        <v>0.26584416741573047</v>
      </c>
      <c r="AC45" s="687" t="str">
        <f>SUBSTITUTE(INDEX('3.1 Model Assumptions &amp; Inputs'!$E$21:$E$70,MATCH('3.2 Model Logic'!$E45,'3.1 Model Assumptions &amp; Inputs'!$B$21:$B$70,0)),"Base","Low")</f>
        <v>Medium</v>
      </c>
      <c r="AD45" s="276">
        <f t="shared" si="17"/>
        <v>0.25</v>
      </c>
      <c r="AE45" s="278">
        <f t="shared" si="25"/>
        <v>0.5</v>
      </c>
      <c r="AF45" s="275">
        <f t="shared" si="26"/>
        <v>0.125</v>
      </c>
      <c r="AG45" s="874">
        <f t="shared" si="19"/>
        <v>0.39512576653306591</v>
      </c>
      <c r="AH45" s="877">
        <f t="shared" ca="1" si="33"/>
        <v>1.1087547529533284</v>
      </c>
      <c r="AI45" s="958">
        <f t="shared" ca="1" si="20"/>
        <v>4.6861733675079885E-3</v>
      </c>
      <c r="AJ45" s="958">
        <f t="shared" ca="1" si="21"/>
        <v>0.10026665438399239</v>
      </c>
    </row>
    <row r="46" spans="2:38" x14ac:dyDescent="0.35">
      <c r="B46" s="897">
        <f>INDEX('NPS with launch Dates '!$J$6:$J$59,MATCH('3.2 Model Logic'!$E46,'NPS with launch Dates '!$I$6:$I$59,0))</f>
        <v>43101</v>
      </c>
      <c r="C46" s="898" t="str">
        <f>INDEX('Raw Forecasting NPS Data'!$D$6:$D$166,MATCH('3.2 Model Logic'!$E46,'Raw Forecasting NPS Data'!$I$6:$I$166,0))</f>
        <v>Hodgkins Lymphoma</v>
      </c>
      <c r="D46" s="898" t="str">
        <f>INDEX('MCODE Final Mapping'!$E$6:$E$76,MATCH('3.2 Model Logic'!$E46,'MCODE Final Mapping'!$D$6:$D$76,0))</f>
        <v>PROMO-US-2024 KEYTRUDA HEME / cHL</v>
      </c>
      <c r="E46" s="899" t="s">
        <v>163</v>
      </c>
      <c r="F46" s="900" t="str">
        <f>INDEX('2.  Sales Data Key &amp; Key-Lyn'!$D$7:$D$60,MATCH('3.2 Model Logic'!$E46,'2.  Sales Data Key &amp; Key-Lyn'!$C$7:$C$60,0))</f>
        <v>Mature</v>
      </c>
      <c r="G46" s="901"/>
      <c r="H46" s="960">
        <f>IF(INDEX('2.  Sales Data Key &amp; Key-Lyn'!$W$7:$W$60,MATCH('3.2 Model Logic'!$E46,'2.  Sales Data Key &amp; Key-Lyn'!$C$7:$C$60,0))="-",0,INDEX('2.  Sales Data Key &amp; Key-Lyn'!$W$7:$W$60,MATCH('3.2 Model Logic'!$E46,'2.  Sales Data Key &amp; Key-Lyn'!$C$7:$C$60,0)))</f>
        <v>143.11863592982942</v>
      </c>
      <c r="I46" s="902">
        <f t="shared" si="27"/>
        <v>5.1696025028248292E-2</v>
      </c>
      <c r="J46" s="903">
        <f t="shared" ca="1" si="28"/>
        <v>5.118418319628544E-2</v>
      </c>
      <c r="K46" s="904">
        <f t="shared" ca="1" si="29"/>
        <v>0.63933747340034031</v>
      </c>
      <c r="L46" s="905">
        <f>SUMIFS('1. NPS Key &amp; Key-Lyn'!$AH$6:$AH$120,'1. NPS Key &amp; Key-Lyn'!$H$6:$H$120,'3.2 Model Logic'!$E46)</f>
        <v>38880288.864</v>
      </c>
      <c r="M46" s="902">
        <f t="shared" si="10"/>
        <v>3.2033166179464709E-2</v>
      </c>
      <c r="N46" s="903">
        <f t="shared" ca="1" si="3"/>
        <v>3.1716006118281889E-2</v>
      </c>
      <c r="O46" s="904">
        <f t="shared" ca="1" si="30"/>
        <v>0.33137970841879394</v>
      </c>
      <c r="P46" s="906" t="str">
        <f>IFERROR(INDEX('3.1 Model Assumptions &amp; Inputs'!$F$21:$F$70,MATCH('3.2 Model Logic'!$E46,'3.1 Model Assumptions &amp; Inputs'!$B$21:$B$70,0)),"Low")</f>
        <v>Low</v>
      </c>
      <c r="Q46" s="907">
        <v>1</v>
      </c>
      <c r="R46" s="908">
        <f t="shared" si="22"/>
        <v>0</v>
      </c>
      <c r="S46" s="907">
        <f t="shared" si="23"/>
        <v>0</v>
      </c>
      <c r="T46" s="904">
        <f t="shared" si="13"/>
        <v>0</v>
      </c>
      <c r="U46" s="902">
        <f>IFERROR(INDEX('3.1 Model Assumptions &amp; Inputs'!$L$21:$L$70,MATCH('3.2 Model Logic'!$E46,'3.1 Model Assumptions &amp; Inputs'!$B$21:$B$70,0)),0)</f>
        <v>0</v>
      </c>
      <c r="V46" s="907">
        <f t="shared" si="14"/>
        <v>0</v>
      </c>
      <c r="W46" s="903">
        <f t="shared" ca="1" si="24"/>
        <v>0</v>
      </c>
      <c r="X46" s="904">
        <f t="shared" ca="1" si="31"/>
        <v>0</v>
      </c>
      <c r="Y46" s="909">
        <f>INDEX('3.1 Model Assumptions &amp; Inputs'!$R$21:$R$70,MATCH('3.2 Model Logic'!$E46,'3.1 Model Assumptions &amp; Inputs'!$B$21:$B$70,0))</f>
        <v>1</v>
      </c>
      <c r="Z46" s="907">
        <f t="shared" si="15"/>
        <v>0.25</v>
      </c>
      <c r="AA46" s="903">
        <f t="shared" ca="1" si="32"/>
        <v>0.24752475247524761</v>
      </c>
      <c r="AB46" s="904">
        <f t="shared" ca="1" si="16"/>
        <v>0.26584416741573047</v>
      </c>
      <c r="AC46" s="906" t="str">
        <f>SUBSTITUTE(INDEX('3.1 Model Assumptions &amp; Inputs'!$E$21:$E$70,MATCH('3.2 Model Logic'!$E46,'3.1 Model Assumptions &amp; Inputs'!$B$21:$B$70,0)),"Base","Low")</f>
        <v>Low</v>
      </c>
      <c r="AD46" s="902">
        <f t="shared" si="17"/>
        <v>1</v>
      </c>
      <c r="AE46" s="908">
        <f t="shared" si="25"/>
        <v>0</v>
      </c>
      <c r="AF46" s="907">
        <f t="shared" si="26"/>
        <v>0</v>
      </c>
      <c r="AG46" s="904">
        <f t="shared" si="19"/>
        <v>0</v>
      </c>
      <c r="AH46" s="910">
        <f t="shared" ca="1" si="33"/>
        <v>1.2365613492348646</v>
      </c>
      <c r="AI46" s="957">
        <f t="shared" ca="1" si="20"/>
        <v>5.2263504139567728E-3</v>
      </c>
      <c r="AJ46" s="957">
        <f t="shared" ca="1" si="21"/>
        <v>1</v>
      </c>
    </row>
    <row r="47" spans="2:38" x14ac:dyDescent="0.35">
      <c r="B47" s="433">
        <f>INDEX('NPS with launch Dates '!$J$6:$J$59,MATCH('3.2 Model Logic'!$E47,'NPS with launch Dates '!$I$6:$I$59,0))</f>
        <v>45567</v>
      </c>
      <c r="C47" s="274" t="str">
        <f>INDEX('Raw Forecasting NPS Data'!$D$6:$D$166,MATCH('3.2 Model Logic'!$E47,'Raw Forecasting NPS Data'!$I$6:$I$166,0))</f>
        <v>Mesothelioma</v>
      </c>
      <c r="D47" s="274" t="str">
        <f>INDEX('MCODE Final Mapping'!$E$6:$E$76,MATCH('3.2 Model Logic'!$E47,'MCODE Final Mapping'!$D$6:$D$76,0))</f>
        <v>PROMO-US-2024 KEYTRUDA LUNG</v>
      </c>
      <c r="E47" s="684" t="s">
        <v>192</v>
      </c>
      <c r="F47" s="704" t="str">
        <f>INDEX('2.  Sales Data Key &amp; Key-Lyn'!$D$7:$D$60,MATCH('3.2 Model Logic'!$E47,'2.  Sales Data Key &amp; Key-Lyn'!$C$7:$C$60,0))</f>
        <v>Planning Year</v>
      </c>
      <c r="G47" s="705"/>
      <c r="H47" s="961">
        <f>IF(INDEX('2.  Sales Data Key &amp; Key-Lyn'!$W$7:$W$60,MATCH('3.2 Model Logic'!$E47,'2.  Sales Data Key &amp; Key-Lyn'!$C$7:$C$60,0))="-",0,INDEX('2.  Sales Data Key &amp; Key-Lyn'!$W$7:$W$60,MATCH('3.2 Model Logic'!$E47,'2.  Sales Data Key &amp; Key-Lyn'!$C$7:$C$60,0)))</f>
        <v>10.619012539624444</v>
      </c>
      <c r="I47" s="276">
        <f t="shared" si="27"/>
        <v>3.8357040958164339E-3</v>
      </c>
      <c r="J47" s="277">
        <f t="shared" ca="1" si="28"/>
        <v>3.7977268275410235E-3</v>
      </c>
      <c r="K47" s="874">
        <f t="shared" ca="1" si="29"/>
        <v>4.7437097223444136E-2</v>
      </c>
      <c r="L47" s="681">
        <f>SUMIFS('1. NPS Key &amp; Key-Lyn'!$AH$6:$AH$120,'1. NPS Key &amp; Key-Lyn'!$H$6:$H$120,'3.2 Model Logic'!$E47)</f>
        <v>18649362.8204973</v>
      </c>
      <c r="M47" s="276">
        <f t="shared" si="10"/>
        <v>1.5365064299284643E-2</v>
      </c>
      <c r="N47" s="277">
        <f t="shared" ca="1" si="3"/>
        <v>1.5212934949786776E-2</v>
      </c>
      <c r="O47" s="874">
        <f t="shared" ca="1" si="30"/>
        <v>0.1589499613871154</v>
      </c>
      <c r="P47" s="687" t="str">
        <f>IFERROR(INDEX('3.1 Model Assumptions &amp; Inputs'!$F$21:$F$70,MATCH('3.2 Model Logic'!$E47,'3.1 Model Assumptions &amp; Inputs'!$B$21:$B$70,0)),"Low")</f>
        <v>Low</v>
      </c>
      <c r="Q47" s="275">
        <v>1</v>
      </c>
      <c r="R47" s="278">
        <f t="shared" si="22"/>
        <v>0</v>
      </c>
      <c r="S47" s="275">
        <f t="shared" si="23"/>
        <v>0</v>
      </c>
      <c r="T47" s="874">
        <f t="shared" si="13"/>
        <v>0</v>
      </c>
      <c r="U47" s="276">
        <f>IFERROR(INDEX('3.1 Model Assumptions &amp; Inputs'!$L$21:$L$70,MATCH('3.2 Model Logic'!$E47,'3.1 Model Assumptions &amp; Inputs'!$B$21:$B$70,0)),0)</f>
        <v>0.5</v>
      </c>
      <c r="V47" s="275">
        <f t="shared" si="14"/>
        <v>0.5</v>
      </c>
      <c r="W47" s="277">
        <f t="shared" ca="1" si="24"/>
        <v>0.49504950495049505</v>
      </c>
      <c r="X47" s="874">
        <f t="shared" ca="1" si="31"/>
        <v>2.7300151038461533</v>
      </c>
      <c r="Y47" s="690">
        <f>INDEX('3.1 Model Assumptions &amp; Inputs'!$R$21:$R$70,MATCH('3.2 Model Logic'!$E47,'3.1 Model Assumptions &amp; Inputs'!$B$21:$B$70,0))</f>
        <v>0</v>
      </c>
      <c r="Z47" s="275">
        <f t="shared" si="15"/>
        <v>0</v>
      </c>
      <c r="AA47" s="277">
        <f t="shared" ca="1" si="32"/>
        <v>0</v>
      </c>
      <c r="AB47" s="874">
        <f t="shared" ca="1" si="16"/>
        <v>0</v>
      </c>
      <c r="AC47" s="687" t="str">
        <f>SUBSTITUTE(INDEX('3.1 Model Assumptions &amp; Inputs'!$E$21:$E$70,MATCH('3.2 Model Logic'!$E47,'3.1 Model Assumptions &amp; Inputs'!$B$21:$B$70,0)),"Base","Low")</f>
        <v>High</v>
      </c>
      <c r="AD47" s="276">
        <f t="shared" si="17"/>
        <v>0.14285714285714285</v>
      </c>
      <c r="AE47" s="278">
        <f t="shared" si="25"/>
        <v>1</v>
      </c>
      <c r="AF47" s="275">
        <f t="shared" si="26"/>
        <v>0.14285714285714285</v>
      </c>
      <c r="AG47" s="874">
        <f t="shared" si="19"/>
        <v>0.4515723046092181</v>
      </c>
      <c r="AH47" s="877">
        <f t="shared" ca="1" si="33"/>
        <v>3.3879744670659306</v>
      </c>
      <c r="AI47" s="958">
        <f t="shared" ca="1" si="20"/>
        <v>1.431933948880194E-2</v>
      </c>
      <c r="AJ47" s="958">
        <f t="shared" ca="1" si="21"/>
        <v>5.320483758532385E-2</v>
      </c>
    </row>
    <row r="48" spans="2:38" x14ac:dyDescent="0.35">
      <c r="B48" s="433">
        <f>INDEX('NPS with launch Dates '!$J$6:$J$59,MATCH('3.2 Model Logic'!$E48,'NPS with launch Dates '!$I$6:$I$59,0))</f>
        <v>45475</v>
      </c>
      <c r="C48" s="274" t="str">
        <f>INDEX('Raw Forecasting NPS Data'!$D$6:$D$166,MATCH('3.2 Model Logic'!$E48,'Raw Forecasting NPS Data'!$I$6:$I$166,0))</f>
        <v>NSCLC</v>
      </c>
      <c r="D48" s="274" t="str">
        <f>INDEX('MCODE Final Mapping'!$E$6:$E$76,MATCH('3.2 Model Logic'!$E48,'MCODE Final Mapping'!$D$6:$D$76,0))</f>
        <v>PROMO-US-2024 KEYTRUDA LUNG</v>
      </c>
      <c r="E48" s="684" t="s">
        <v>233</v>
      </c>
      <c r="F48" s="704" t="str">
        <f>INDEX('2.  Sales Data Key &amp; Key-Lyn'!$D$7:$D$60,MATCH('3.2 Model Logic'!$E48,'2.  Sales Data Key &amp; Key-Lyn'!$C$7:$C$60,0))</f>
        <v>Planning Year</v>
      </c>
      <c r="G48" s="705"/>
      <c r="H48" s="961">
        <f>IF(INDEX('2.  Sales Data Key &amp; Key-Lyn'!$W$7:$W$60,MATCH('3.2 Model Logic'!$E48,'2.  Sales Data Key &amp; Key-Lyn'!$C$7:$C$60,0))="-",0,INDEX('2.  Sales Data Key &amp; Key-Lyn'!$W$7:$W$60,MATCH('3.2 Model Logic'!$E48,'2.  Sales Data Key &amp; Key-Lyn'!$C$7:$C$60,0)))</f>
        <v>178.03660213345742</v>
      </c>
      <c r="I48" s="276">
        <f t="shared" si="27"/>
        <v>6.430877837843621E-2</v>
      </c>
      <c r="J48" s="277">
        <f t="shared" ca="1" si="28"/>
        <v>6.3672057800431892E-2</v>
      </c>
      <c r="K48" s="874">
        <f t="shared" ca="1" si="29"/>
        <v>0.79532250039466934</v>
      </c>
      <c r="L48" s="681">
        <f>SUMIFS('1. NPS Key &amp; Key-Lyn'!$AH$6:$AH$120,'1. NPS Key &amp; Key-Lyn'!$H$6:$H$120,'3.2 Model Logic'!$E48)</f>
        <v>525693902.52360421</v>
      </c>
      <c r="M48" s="276">
        <f t="shared" si="10"/>
        <v>0.43311509844933482</v>
      </c>
      <c r="N48" s="277">
        <f t="shared" ca="1" si="3"/>
        <v>0.42882683014785633</v>
      </c>
      <c r="O48" s="874">
        <f t="shared" ca="1" si="30"/>
        <v>4.4805297806598592</v>
      </c>
      <c r="P48" s="687" t="str">
        <f>IFERROR(INDEX('3.1 Model Assumptions &amp; Inputs'!$F$21:$F$70,MATCH('3.2 Model Logic'!$E48,'3.1 Model Assumptions &amp; Inputs'!$B$21:$B$70,0)),"Low")</f>
        <v>High</v>
      </c>
      <c r="Q48" s="275">
        <v>1</v>
      </c>
      <c r="R48" s="278">
        <f t="shared" si="22"/>
        <v>1</v>
      </c>
      <c r="S48" s="275">
        <f t="shared" si="23"/>
        <v>1</v>
      </c>
      <c r="T48" s="874">
        <f t="shared" si="13"/>
        <v>1.6205569109589042</v>
      </c>
      <c r="U48" s="276">
        <f>IFERROR(INDEX('3.1 Model Assumptions &amp; Inputs'!$L$21:$L$70,MATCH('3.2 Model Logic'!$E48,'3.1 Model Assumptions &amp; Inputs'!$B$21:$B$70,0)),0)</f>
        <v>0.75</v>
      </c>
      <c r="V48" s="275">
        <f t="shared" si="14"/>
        <v>0.75</v>
      </c>
      <c r="W48" s="277">
        <f t="shared" ca="1" si="24"/>
        <v>0.74257425742574268</v>
      </c>
      <c r="X48" s="874">
        <f t="shared" ca="1" si="31"/>
        <v>4.0950226557692311</v>
      </c>
      <c r="Y48" s="690">
        <f>INDEX('3.1 Model Assumptions &amp; Inputs'!$R$21:$R$70,MATCH('3.2 Model Logic'!$E48,'3.1 Model Assumptions &amp; Inputs'!$B$21:$B$70,0))</f>
        <v>2</v>
      </c>
      <c r="Z48" s="275">
        <f t="shared" si="15"/>
        <v>0.5</v>
      </c>
      <c r="AA48" s="277">
        <f t="shared" ca="1" si="32"/>
        <v>0.4950495049504951</v>
      </c>
      <c r="AB48" s="874">
        <f t="shared" ca="1" si="16"/>
        <v>0.53168833483146083</v>
      </c>
      <c r="AC48" s="687" t="str">
        <f>SUBSTITUTE(INDEX('3.1 Model Assumptions &amp; Inputs'!$E$21:$E$70,MATCH('3.2 Model Logic'!$E48,'3.1 Model Assumptions &amp; Inputs'!$B$21:$B$70,0)),"Base","Low")</f>
        <v>High</v>
      </c>
      <c r="AD48" s="276">
        <f t="shared" si="17"/>
        <v>0.14285714285714285</v>
      </c>
      <c r="AE48" s="278">
        <f t="shared" si="25"/>
        <v>1</v>
      </c>
      <c r="AF48" s="275">
        <f t="shared" si="26"/>
        <v>0.14285714285714285</v>
      </c>
      <c r="AG48" s="874">
        <f t="shared" si="19"/>
        <v>0.4515723046092181</v>
      </c>
      <c r="AH48" s="877">
        <f t="shared" ca="1" si="33"/>
        <v>11.974692487223344</v>
      </c>
      <c r="AI48" s="958">
        <f t="shared" ca="1" si="20"/>
        <v>5.0611268964802482E-2</v>
      </c>
      <c r="AJ48" s="958">
        <f t="shared" ca="1" si="21"/>
        <v>0.1880508767436698</v>
      </c>
    </row>
    <row r="49" spans="2:36" x14ac:dyDescent="0.35">
      <c r="B49" s="433">
        <f>INDEX('NPS with launch Dates '!$J$6:$J$59,MATCH('3.2 Model Logic'!$E49,'NPS with launch Dates '!$I$6:$I$59,0))</f>
        <v>45201</v>
      </c>
      <c r="C49" s="274" t="str">
        <f>INDEX('Raw Forecasting NPS Data'!$D$6:$D$166,MATCH('3.2 Model Logic'!$E49,'Raw Forecasting NPS Data'!$I$6:$I$166,0))</f>
        <v>NSCLC</v>
      </c>
      <c r="D49" s="274" t="str">
        <f>INDEX('MCODE Final Mapping'!$E$6:$E$76,MATCH('3.2 Model Logic'!$E49,'MCODE Final Mapping'!$D$6:$D$76,0))</f>
        <v>PROMO-US-2024 KEYTRUDA LUNG</v>
      </c>
      <c r="E49" s="684" t="s">
        <v>244</v>
      </c>
      <c r="F49" s="704" t="str">
        <f>INDEX('2.  Sales Data Key &amp; Key-Lyn'!$D$7:$D$60,MATCH('3.2 Model Logic'!$E49,'2.  Sales Data Key &amp; Key-Lyn'!$C$7:$C$60,0))</f>
        <v>Recent Launch</v>
      </c>
      <c r="G49" s="705"/>
      <c r="H49" s="961">
        <f>IF(INDEX('2.  Sales Data Key &amp; Key-Lyn'!$W$7:$W$60,MATCH('3.2 Model Logic'!$E49,'2.  Sales Data Key &amp; Key-Lyn'!$C$7:$C$60,0))="-",0,INDEX('2.  Sales Data Key &amp; Key-Lyn'!$W$7:$W$60,MATCH('3.2 Model Logic'!$E49,'2.  Sales Data Key &amp; Key-Lyn'!$C$7:$C$60,0)))</f>
        <v>232.53013770000001</v>
      </c>
      <c r="I49" s="276">
        <f t="shared" si="27"/>
        <v>8.3992442635178702E-2</v>
      </c>
      <c r="J49" s="277">
        <f t="shared" ca="1" si="28"/>
        <v>8.3160834292256139E-2</v>
      </c>
      <c r="K49" s="874">
        <f t="shared" ca="1" si="29"/>
        <v>1.0387552240187734</v>
      </c>
      <c r="L49" s="681">
        <f>SUMIFS('1. NPS Key &amp; Key-Lyn'!$AH$6:$AH$120,'1. NPS Key &amp; Key-Lyn'!$H$6:$H$120,'3.2 Model Logic'!$E49)</f>
        <v>279448858.12424022</v>
      </c>
      <c r="M49" s="276">
        <f t="shared" si="10"/>
        <v>0.23023573055919164</v>
      </c>
      <c r="N49" s="277">
        <f t="shared" ca="1" si="3"/>
        <v>0.22795616887048686</v>
      </c>
      <c r="O49" s="874">
        <f t="shared" ca="1" si="30"/>
        <v>2.3817642262663123</v>
      </c>
      <c r="P49" s="687" t="str">
        <f>IFERROR(INDEX('3.1 Model Assumptions &amp; Inputs'!$F$21:$F$70,MATCH('3.2 Model Logic'!$E49,'3.1 Model Assumptions &amp; Inputs'!$B$21:$B$70,0)),"Low")</f>
        <v>High</v>
      </c>
      <c r="Q49" s="275">
        <v>1</v>
      </c>
      <c r="R49" s="278">
        <f t="shared" si="22"/>
        <v>1</v>
      </c>
      <c r="S49" s="275">
        <f t="shared" si="23"/>
        <v>1</v>
      </c>
      <c r="T49" s="874">
        <f t="shared" si="13"/>
        <v>1.6205569109589042</v>
      </c>
      <c r="U49" s="276">
        <f>IFERROR(INDEX('3.1 Model Assumptions &amp; Inputs'!$L$21:$L$70,MATCH('3.2 Model Logic'!$E49,'3.1 Model Assumptions &amp; Inputs'!$B$21:$B$70,0)),0)</f>
        <v>0.75</v>
      </c>
      <c r="V49" s="275">
        <f t="shared" si="14"/>
        <v>0.75</v>
      </c>
      <c r="W49" s="277">
        <f t="shared" ca="1" si="24"/>
        <v>0.74257425742574268</v>
      </c>
      <c r="X49" s="874">
        <f t="shared" ca="1" si="31"/>
        <v>4.0950226557692311</v>
      </c>
      <c r="Y49" s="690">
        <f>INDEX('3.1 Model Assumptions &amp; Inputs'!$R$21:$R$70,MATCH('3.2 Model Logic'!$E49,'3.1 Model Assumptions &amp; Inputs'!$B$21:$B$70,0))</f>
        <v>4</v>
      </c>
      <c r="Z49" s="275">
        <f t="shared" si="15"/>
        <v>1</v>
      </c>
      <c r="AA49" s="277">
        <f t="shared" ca="1" si="32"/>
        <v>0.99009900990099009</v>
      </c>
      <c r="AB49" s="874">
        <f t="shared" ca="1" si="16"/>
        <v>1.0633766696629217</v>
      </c>
      <c r="AC49" s="687" t="str">
        <f>SUBSTITUTE(INDEX('3.1 Model Assumptions &amp; Inputs'!$E$21:$E$70,MATCH('3.2 Model Logic'!$E49,'3.1 Model Assumptions &amp; Inputs'!$B$21:$B$70,0)),"Base","Low")</f>
        <v>High</v>
      </c>
      <c r="AD49" s="276">
        <f t="shared" si="17"/>
        <v>0.14285714285714285</v>
      </c>
      <c r="AE49" s="278">
        <f t="shared" si="25"/>
        <v>1</v>
      </c>
      <c r="AF49" s="275">
        <f t="shared" si="26"/>
        <v>0.14285714285714285</v>
      </c>
      <c r="AG49" s="874">
        <f t="shared" si="19"/>
        <v>0.4515723046092181</v>
      </c>
      <c r="AH49" s="877">
        <f t="shared" ca="1" si="33"/>
        <v>10.651047991285362</v>
      </c>
      <c r="AI49" s="958">
        <f t="shared" ca="1" si="20"/>
        <v>4.501685995019309E-2</v>
      </c>
      <c r="AJ49" s="958">
        <f t="shared" ca="1" si="21"/>
        <v>0.16726432976355712</v>
      </c>
    </row>
    <row r="50" spans="2:36" x14ac:dyDescent="0.35">
      <c r="B50" s="433">
        <f>INDEX('NPS with launch Dates '!$J$6:$J$59,MATCH('3.2 Model Logic'!$E50,'NPS with launch Dates '!$I$6:$I$59,0))</f>
        <v>45993</v>
      </c>
      <c r="C50" s="274" t="str">
        <f>INDEX('Raw Forecasting NPS Data'!$D$6:$D$166,MATCH('3.2 Model Logic'!$E50,'Raw Forecasting NPS Data'!$I$6:$I$166,0))</f>
        <v>NSCLC</v>
      </c>
      <c r="D50" s="274" t="str">
        <f>INDEX('MCODE Final Mapping'!$E$6:$E$76,MATCH('3.2 Model Logic'!$E50,'MCODE Final Mapping'!$D$6:$D$76,0))</f>
        <v>PROMO-US-2024 KEYTRUDA LUNG</v>
      </c>
      <c r="E50" s="684" t="s">
        <v>250</v>
      </c>
      <c r="F50" s="704" t="str">
        <f>INDEX('2.  Sales Data Key &amp; Key-Lyn'!$D$7:$D$60,MATCH('3.2 Model Logic'!$E50,'2.  Sales Data Key &amp; Key-Lyn'!$C$7:$C$60,0))</f>
        <v>Future Launch</v>
      </c>
      <c r="G50" s="705"/>
      <c r="H50" s="961">
        <f>IF(INDEX('2.  Sales Data Key &amp; Key-Lyn'!$W$7:$W$60,MATCH('3.2 Model Logic'!$E50,'2.  Sales Data Key &amp; Key-Lyn'!$C$7:$C$60,0))="-",0,INDEX('2.  Sales Data Key &amp; Key-Lyn'!$W$7:$W$60,MATCH('3.2 Model Logic'!$E50,'2.  Sales Data Key &amp; Key-Lyn'!$C$7:$C$60,0)))</f>
        <v>9.0821499999999999E-2</v>
      </c>
      <c r="I50" s="276">
        <f t="shared" si="27"/>
        <v>3.2805724471864371E-5</v>
      </c>
      <c r="J50" s="277">
        <f t="shared" ca="1" si="28"/>
        <v>3.2480915318677597E-5</v>
      </c>
      <c r="K50" s="874">
        <f t="shared" ca="1" si="29"/>
        <v>4.0571647405092913E-4</v>
      </c>
      <c r="L50" s="681">
        <f>SUMIFS('1. NPS Key &amp; Key-Lyn'!$AH$6:$AH$120,'1. NPS Key &amp; Key-Lyn'!$H$6:$H$120,'3.2 Model Logic'!$E50)</f>
        <v>921411.53726999986</v>
      </c>
      <c r="M50" s="276">
        <f t="shared" si="10"/>
        <v>7.5914376552832453E-4</v>
      </c>
      <c r="N50" s="277">
        <f t="shared" ca="1" si="3"/>
        <v>7.5162749062210354E-4</v>
      </c>
      <c r="O50" s="874">
        <f t="shared" ca="1" si="30"/>
        <v>7.8532617805975886E-3</v>
      </c>
      <c r="P50" s="687" t="str">
        <f>IFERROR(INDEX('3.1 Model Assumptions &amp; Inputs'!$F$21:$F$70,MATCH('3.2 Model Logic'!$E50,'3.1 Model Assumptions &amp; Inputs'!$B$21:$B$70,0)),"Low")</f>
        <v>Low</v>
      </c>
      <c r="Q50" s="275">
        <v>1</v>
      </c>
      <c r="R50" s="278">
        <f t="shared" si="22"/>
        <v>0</v>
      </c>
      <c r="S50" s="275">
        <f t="shared" si="23"/>
        <v>0</v>
      </c>
      <c r="T50" s="874">
        <f t="shared" si="13"/>
        <v>0</v>
      </c>
      <c r="U50" s="276">
        <f>IFERROR(INDEX('3.1 Model Assumptions &amp; Inputs'!$L$21:$L$70,MATCH('3.2 Model Logic'!$E50,'3.1 Model Assumptions &amp; Inputs'!$B$21:$B$70,0)),0)</f>
        <v>0</v>
      </c>
      <c r="V50" s="275">
        <f t="shared" si="14"/>
        <v>0</v>
      </c>
      <c r="W50" s="277">
        <f t="shared" ca="1" si="24"/>
        <v>0</v>
      </c>
      <c r="X50" s="874">
        <f t="shared" ca="1" si="31"/>
        <v>0</v>
      </c>
      <c r="Y50" s="690">
        <f>INDEX('3.1 Model Assumptions &amp; Inputs'!$R$21:$R$70,MATCH('3.2 Model Logic'!$E50,'3.1 Model Assumptions &amp; Inputs'!$B$21:$B$70,0))</f>
        <v>2</v>
      </c>
      <c r="Z50" s="275">
        <f t="shared" si="15"/>
        <v>0.5</v>
      </c>
      <c r="AA50" s="277">
        <f t="shared" ca="1" si="32"/>
        <v>0.4950495049504951</v>
      </c>
      <c r="AB50" s="874">
        <f t="shared" ca="1" si="16"/>
        <v>0.53168833483146083</v>
      </c>
      <c r="AC50" s="687" t="str">
        <f>SUBSTITUTE(INDEX('3.1 Model Assumptions &amp; Inputs'!$E$21:$E$70,MATCH('3.2 Model Logic'!$E50,'3.1 Model Assumptions &amp; Inputs'!$B$21:$B$70,0)),"Base","Low")</f>
        <v>High</v>
      </c>
      <c r="AD50" s="276">
        <f t="shared" si="17"/>
        <v>0.14285714285714285</v>
      </c>
      <c r="AE50" s="278">
        <f t="shared" si="25"/>
        <v>1</v>
      </c>
      <c r="AF50" s="275">
        <f t="shared" si="26"/>
        <v>0.14285714285714285</v>
      </c>
      <c r="AG50" s="874">
        <f t="shared" si="19"/>
        <v>0.4515723046092181</v>
      </c>
      <c r="AH50" s="877">
        <f t="shared" ca="1" si="33"/>
        <v>0.99151961769532737</v>
      </c>
      <c r="AI50" s="958">
        <f t="shared" ca="1" si="20"/>
        <v>4.1906768051538004E-3</v>
      </c>
      <c r="AJ50" s="958">
        <f t="shared" ca="1" si="21"/>
        <v>1.5570849407205906E-2</v>
      </c>
    </row>
    <row r="51" spans="2:36" x14ac:dyDescent="0.35">
      <c r="B51" s="433">
        <f>INDEX('NPS with launch Dates '!$J$6:$J$59,MATCH('3.2 Model Logic'!$E51,'NPS with launch Dates '!$I$6:$I$59,0))</f>
        <v>43101</v>
      </c>
      <c r="C51" s="274" t="str">
        <f>INDEX('Raw Forecasting NPS Data'!$D$6:$D$166,MATCH('3.2 Model Logic'!$E51,'Raw Forecasting NPS Data'!$I$6:$I$166,0))</f>
        <v>NSCLC</v>
      </c>
      <c r="D51" s="274" t="str">
        <f>INDEX('MCODE Final Mapping'!$E$6:$E$76,MATCH('3.2 Model Logic'!$E51,'MCODE Final Mapping'!$D$6:$D$76,0))</f>
        <v>PROMO-US-2024 KEYTRUDA LUNG</v>
      </c>
      <c r="E51" s="684" t="s">
        <v>258</v>
      </c>
      <c r="F51" s="704" t="str">
        <f>INDEX('2.  Sales Data Key &amp; Key-Lyn'!$D$7:$D$60,MATCH('3.2 Model Logic'!$E51,'2.  Sales Data Key &amp; Key-Lyn'!$C$7:$C$60,0))</f>
        <v>Mature</v>
      </c>
      <c r="G51" s="705"/>
      <c r="H51" s="961">
        <f>IF(INDEX('2.  Sales Data Key &amp; Key-Lyn'!$W$7:$W$60,MATCH('3.2 Model Logic'!$E51,'2.  Sales Data Key &amp; Key-Lyn'!$C$7:$C$60,0))="-",0,INDEX('2.  Sales Data Key &amp; Key-Lyn'!$W$7:$W$60,MATCH('3.2 Model Logic'!$E51,'2.  Sales Data Key &amp; Key-Lyn'!$C$7:$C$60,0)))</f>
        <v>2768.4650000000001</v>
      </c>
      <c r="I51" s="276">
        <f t="shared" si="27"/>
        <v>1</v>
      </c>
      <c r="J51" s="277">
        <f t="shared" ca="1" si="28"/>
        <v>0.99009900990099009</v>
      </c>
      <c r="K51" s="874">
        <f t="shared" ca="1" si="29"/>
        <v>12.367246283461576</v>
      </c>
      <c r="L51" s="681">
        <f>SUMIFS('1. NPS Key &amp; Key-Lyn'!$AH$6:$AH$120,'1. NPS Key &amp; Key-Lyn'!$H$6:$H$120,'3.2 Model Logic'!$E51)</f>
        <v>776792252.0082041</v>
      </c>
      <c r="M51" s="276">
        <f t="shared" si="10"/>
        <v>0.63999306647485277</v>
      </c>
      <c r="N51" s="277">
        <f t="shared" ca="1" si="3"/>
        <v>0.63365650146025032</v>
      </c>
      <c r="O51" s="874">
        <f t="shared" ca="1" si="30"/>
        <v>6.6206604295782583</v>
      </c>
      <c r="P51" s="687" t="str">
        <f>IFERROR(INDEX('3.1 Model Assumptions &amp; Inputs'!$F$21:$F$70,MATCH('3.2 Model Logic'!$E51,'3.1 Model Assumptions &amp; Inputs'!$B$21:$B$70,0)),"Low")</f>
        <v>High</v>
      </c>
      <c r="Q51" s="275">
        <v>1</v>
      </c>
      <c r="R51" s="278">
        <f t="shared" si="22"/>
        <v>1</v>
      </c>
      <c r="S51" s="275">
        <f t="shared" si="23"/>
        <v>1</v>
      </c>
      <c r="T51" s="874">
        <f t="shared" si="13"/>
        <v>1.6205569109589042</v>
      </c>
      <c r="U51" s="276">
        <f>IFERROR(INDEX('3.1 Model Assumptions &amp; Inputs'!$L$21:$L$70,MATCH('3.2 Model Logic'!$E51,'3.1 Model Assumptions &amp; Inputs'!$B$21:$B$70,0)),0)</f>
        <v>0</v>
      </c>
      <c r="V51" s="275">
        <f t="shared" si="14"/>
        <v>0</v>
      </c>
      <c r="W51" s="277">
        <f t="shared" ca="1" si="24"/>
        <v>0</v>
      </c>
      <c r="X51" s="874">
        <f t="shared" ca="1" si="31"/>
        <v>0</v>
      </c>
      <c r="Y51" s="690">
        <f>INDEX('3.1 Model Assumptions &amp; Inputs'!$R$21:$R$70,MATCH('3.2 Model Logic'!$E51,'3.1 Model Assumptions &amp; Inputs'!$B$21:$B$70,0))</f>
        <v>2</v>
      </c>
      <c r="Z51" s="275">
        <f t="shared" si="15"/>
        <v>0.5</v>
      </c>
      <c r="AA51" s="277">
        <f t="shared" ca="1" si="32"/>
        <v>0.4950495049504951</v>
      </c>
      <c r="AB51" s="874">
        <f t="shared" ca="1" si="16"/>
        <v>0.53168833483146083</v>
      </c>
      <c r="AC51" s="687" t="str">
        <f>SUBSTITUTE(INDEX('3.1 Model Assumptions &amp; Inputs'!$E$21:$E$70,MATCH('3.2 Model Logic'!$E51,'3.1 Model Assumptions &amp; Inputs'!$B$21:$B$70,0)),"Base","Low")</f>
        <v>High</v>
      </c>
      <c r="AD51" s="276">
        <f t="shared" si="17"/>
        <v>0.14285714285714285</v>
      </c>
      <c r="AE51" s="278">
        <f t="shared" si="25"/>
        <v>1</v>
      </c>
      <c r="AF51" s="275">
        <f t="shared" si="26"/>
        <v>0.14285714285714285</v>
      </c>
      <c r="AG51" s="874">
        <f t="shared" si="19"/>
        <v>0.4515723046092181</v>
      </c>
      <c r="AH51" s="877">
        <f t="shared" ca="1" si="33"/>
        <v>21.591724263439417</v>
      </c>
      <c r="AI51" s="958">
        <f t="shared" ca="1" si="20"/>
        <v>9.1257839420657696E-2</v>
      </c>
      <c r="AJ51" s="958">
        <f t="shared" ca="1" si="21"/>
        <v>0.33907698944917547</v>
      </c>
    </row>
    <row r="52" spans="2:36" x14ac:dyDescent="0.35">
      <c r="B52" s="433">
        <f>INDEX('NPS with launch Dates '!$J$6:$J$59,MATCH('3.2 Model Logic'!$E52,'NPS with launch Dates '!$I$6:$I$59,0))</f>
        <v>43101</v>
      </c>
      <c r="C52" s="274" t="str">
        <f>INDEX('Raw Forecasting NPS Data'!$D$6:$D$166,MATCH('3.2 Model Logic'!$E52,'Raw Forecasting NPS Data'!$I$6:$I$166,0))</f>
        <v>NSCLC</v>
      </c>
      <c r="D52" s="274" t="str">
        <f>INDEX('MCODE Final Mapping'!$E$6:$E$76,MATCH('3.2 Model Logic'!$E52,'MCODE Final Mapping'!$D$6:$D$76,0))</f>
        <v>PROMO-US-2024 KEYTRUDA LUNG</v>
      </c>
      <c r="E52" s="684" t="s">
        <v>269</v>
      </c>
      <c r="F52" s="704" t="str">
        <f>INDEX('2.  Sales Data Key &amp; Key-Lyn'!$D$7:$D$60,MATCH('3.2 Model Logic'!$E52,'2.  Sales Data Key &amp; Key-Lyn'!$C$7:$C$60,0))</f>
        <v>Mature</v>
      </c>
      <c r="G52" s="705"/>
      <c r="H52" s="961">
        <f>IF(INDEX('2.  Sales Data Key &amp; Key-Lyn'!$W$7:$W$60,MATCH('3.2 Model Logic'!$E52,'2.  Sales Data Key &amp; Key-Lyn'!$C$7:$C$60,0))="-",0,INDEX('2.  Sales Data Key &amp; Key-Lyn'!$W$7:$W$60,MATCH('3.2 Model Logic'!$E52,'2.  Sales Data Key &amp; Key-Lyn'!$C$7:$C$60,0)))</f>
        <v>907.82591448240237</v>
      </c>
      <c r="I52" s="276">
        <f t="shared" si="27"/>
        <v>0.32791670275130885</v>
      </c>
      <c r="J52" s="277">
        <f t="shared" ca="1" si="28"/>
        <v>0.32467000272406815</v>
      </c>
      <c r="K52" s="874">
        <f t="shared" ca="1" si="29"/>
        <v>4.0554266233860989</v>
      </c>
      <c r="L52" s="681">
        <f>SUMIFS('1. NPS Key &amp; Key-Lyn'!$AH$6:$AH$120,'1. NPS Key &amp; Key-Lyn'!$H$6:$H$120,'3.2 Model Logic'!$E52)</f>
        <v>265783113.24889818</v>
      </c>
      <c r="M52" s="276">
        <f t="shared" si="10"/>
        <v>0.21897663014228791</v>
      </c>
      <c r="N52" s="277">
        <f t="shared" ca="1" si="3"/>
        <v>0.21680854469533464</v>
      </c>
      <c r="O52" s="874">
        <f t="shared" ca="1" si="30"/>
        <v>2.2652900259856259</v>
      </c>
      <c r="P52" s="687" t="str">
        <f>IFERROR(INDEX('3.1 Model Assumptions &amp; Inputs'!$F$21:$F$70,MATCH('3.2 Model Logic'!$E52,'3.1 Model Assumptions &amp; Inputs'!$B$21:$B$70,0)),"Low")</f>
        <v>Medium</v>
      </c>
      <c r="Q52" s="275">
        <v>1</v>
      </c>
      <c r="R52" s="278">
        <f t="shared" si="22"/>
        <v>0.6</v>
      </c>
      <c r="S52" s="275">
        <f t="shared" si="23"/>
        <v>0.6</v>
      </c>
      <c r="T52" s="874">
        <f t="shared" si="13"/>
        <v>0.97233414657534256</v>
      </c>
      <c r="U52" s="276">
        <f>IFERROR(INDEX('3.1 Model Assumptions &amp; Inputs'!$L$21:$L$70,MATCH('3.2 Model Logic'!$E52,'3.1 Model Assumptions &amp; Inputs'!$B$21:$B$70,0)),0)</f>
        <v>0</v>
      </c>
      <c r="V52" s="275">
        <f t="shared" si="14"/>
        <v>0</v>
      </c>
      <c r="W52" s="277">
        <f t="shared" ca="1" si="24"/>
        <v>0</v>
      </c>
      <c r="X52" s="874">
        <f t="shared" ca="1" si="31"/>
        <v>0</v>
      </c>
      <c r="Y52" s="690">
        <f>INDEX('3.1 Model Assumptions &amp; Inputs'!$R$21:$R$70,MATCH('3.2 Model Logic'!$E52,'3.1 Model Assumptions &amp; Inputs'!$B$21:$B$70,0))</f>
        <v>2</v>
      </c>
      <c r="Z52" s="275">
        <f t="shared" si="15"/>
        <v>0.5</v>
      </c>
      <c r="AA52" s="277">
        <f t="shared" ca="1" si="32"/>
        <v>0.4950495049504951</v>
      </c>
      <c r="AB52" s="874">
        <f t="shared" ca="1" si="16"/>
        <v>0.53168833483146083</v>
      </c>
      <c r="AC52" s="687" t="str">
        <f>SUBSTITUTE(INDEX('3.1 Model Assumptions &amp; Inputs'!$E$21:$E$70,MATCH('3.2 Model Logic'!$E52,'3.1 Model Assumptions &amp; Inputs'!$B$21:$B$70,0)),"Base","Low")</f>
        <v>High</v>
      </c>
      <c r="AD52" s="276">
        <f t="shared" si="17"/>
        <v>0.14285714285714285</v>
      </c>
      <c r="AE52" s="278">
        <f t="shared" si="25"/>
        <v>1</v>
      </c>
      <c r="AF52" s="275">
        <f t="shared" si="26"/>
        <v>0.14285714285714285</v>
      </c>
      <c r="AG52" s="874">
        <f t="shared" si="19"/>
        <v>0.4515723046092181</v>
      </c>
      <c r="AH52" s="877">
        <f t="shared" ca="1" si="33"/>
        <v>8.2763114353877469</v>
      </c>
      <c r="AI52" s="958">
        <f t="shared" ca="1" si="20"/>
        <v>3.4979990053173142E-2</v>
      </c>
      <c r="AJ52" s="958">
        <f t="shared" ca="1" si="21"/>
        <v>0.12997140622098866</v>
      </c>
    </row>
    <row r="53" spans="2:36" x14ac:dyDescent="0.35">
      <c r="B53" s="433">
        <f>INDEX('NPS with launch Dates '!$J$6:$J$59,MATCH('3.2 Model Logic'!$E53,'NPS with launch Dates '!$I$6:$I$59,0))</f>
        <v>44950</v>
      </c>
      <c r="C53" s="274" t="str">
        <f>INDEX('Raw Forecasting NPS Data'!$D$6:$D$166,MATCH('3.2 Model Logic'!$E53,'Raw Forecasting NPS Data'!$I$6:$I$166,0))</f>
        <v>NSCLC</v>
      </c>
      <c r="D53" s="274" t="str">
        <f>INDEX('MCODE Final Mapping'!$E$6:$E$76,MATCH('3.2 Model Logic'!$E53,'MCODE Final Mapping'!$D$6:$D$76,0))</f>
        <v>PROMO-US-2024 KEYTRUDA LUNG</v>
      </c>
      <c r="E53" s="684" t="s">
        <v>272</v>
      </c>
      <c r="F53" s="704" t="str">
        <f>INDEX('2.  Sales Data Key &amp; Key-Lyn'!$D$7:$D$60,MATCH('3.2 Model Logic'!$E53,'2.  Sales Data Key &amp; Key-Lyn'!$C$7:$C$60,0))</f>
        <v>Recent Launch</v>
      </c>
      <c r="G53" s="705"/>
      <c r="H53" s="961">
        <f>IF(INDEX('2.  Sales Data Key &amp; Key-Lyn'!$W$7:$W$60,MATCH('3.2 Model Logic'!$E53,'2.  Sales Data Key &amp; Key-Lyn'!$C$7:$C$60,0))="-",0,INDEX('2.  Sales Data Key &amp; Key-Lyn'!$W$7:$W$60,MATCH('3.2 Model Logic'!$E53,'2.  Sales Data Key &amp; Key-Lyn'!$C$7:$C$60,0)))</f>
        <v>328.36712884999997</v>
      </c>
      <c r="I53" s="276">
        <f t="shared" si="27"/>
        <v>0.1186098176606892</v>
      </c>
      <c r="J53" s="277">
        <f t="shared" ca="1" si="28"/>
        <v>0.11743546303038535</v>
      </c>
      <c r="K53" s="874">
        <f t="shared" ca="1" si="29"/>
        <v>1.4668768266462135</v>
      </c>
      <c r="L53" s="681">
        <f>SUMIFS('1. NPS Key &amp; Key-Lyn'!$AH$6:$AH$120,'1. NPS Key &amp; Key-Lyn'!$H$6:$H$120,'3.2 Model Logic'!$E53)</f>
        <v>320773292.84815419</v>
      </c>
      <c r="M53" s="276">
        <f t="shared" si="10"/>
        <v>0.26428260941376891</v>
      </c>
      <c r="N53" s="277">
        <f t="shared" ca="1" si="3"/>
        <v>0.26166594991462278</v>
      </c>
      <c r="O53" s="874">
        <f t="shared" ca="1" si="30"/>
        <v>2.7339755788435229</v>
      </c>
      <c r="P53" s="687" t="str">
        <f>IFERROR(INDEX('3.1 Model Assumptions &amp; Inputs'!$F$21:$F$70,MATCH('3.2 Model Logic'!$E53,'3.1 Model Assumptions &amp; Inputs'!$B$21:$B$70,0)),"Low")</f>
        <v>High</v>
      </c>
      <c r="Q53" s="275">
        <v>1</v>
      </c>
      <c r="R53" s="278">
        <f t="shared" si="22"/>
        <v>1</v>
      </c>
      <c r="S53" s="275">
        <f t="shared" si="23"/>
        <v>1</v>
      </c>
      <c r="T53" s="874">
        <f t="shared" si="13"/>
        <v>1.6205569109589042</v>
      </c>
      <c r="U53" s="276">
        <f>IFERROR(INDEX('3.1 Model Assumptions &amp; Inputs'!$L$21:$L$70,MATCH('3.2 Model Logic'!$E53,'3.1 Model Assumptions &amp; Inputs'!$B$21:$B$70,0)),0)</f>
        <v>0</v>
      </c>
      <c r="V53" s="275">
        <f t="shared" si="14"/>
        <v>0</v>
      </c>
      <c r="W53" s="277">
        <f t="shared" ca="1" si="24"/>
        <v>0</v>
      </c>
      <c r="X53" s="874">
        <f t="shared" ca="1" si="31"/>
        <v>0</v>
      </c>
      <c r="Y53" s="690">
        <f>INDEX('3.1 Model Assumptions &amp; Inputs'!$R$21:$R$70,MATCH('3.2 Model Logic'!$E53,'3.1 Model Assumptions &amp; Inputs'!$B$21:$B$70,0))</f>
        <v>2</v>
      </c>
      <c r="Z53" s="275">
        <f t="shared" si="15"/>
        <v>0.5</v>
      </c>
      <c r="AA53" s="277">
        <f t="shared" ca="1" si="32"/>
        <v>0.4950495049504951</v>
      </c>
      <c r="AB53" s="874">
        <f t="shared" ca="1" si="16"/>
        <v>0.53168833483146083</v>
      </c>
      <c r="AC53" s="687" t="str">
        <f>SUBSTITUTE(INDEX('3.1 Model Assumptions &amp; Inputs'!$E$21:$E$70,MATCH('3.2 Model Logic'!$E53,'3.1 Model Assumptions &amp; Inputs'!$B$21:$B$70,0)),"Base","Low")</f>
        <v>High</v>
      </c>
      <c r="AD53" s="276">
        <f t="shared" si="17"/>
        <v>0.14285714285714285</v>
      </c>
      <c r="AE53" s="278">
        <f t="shared" si="25"/>
        <v>1</v>
      </c>
      <c r="AF53" s="275">
        <f t="shared" si="26"/>
        <v>0.14285714285714285</v>
      </c>
      <c r="AG53" s="874">
        <f t="shared" si="19"/>
        <v>0.4515723046092181</v>
      </c>
      <c r="AH53" s="877">
        <f t="shared" ca="1" si="33"/>
        <v>6.8046699558893202</v>
      </c>
      <c r="AI53" s="958">
        <f t="shared" ca="1" si="20"/>
        <v>2.8760068930511789E-2</v>
      </c>
      <c r="AJ53" s="958">
        <f t="shared" ca="1" si="21"/>
        <v>0.1068607108300792</v>
      </c>
    </row>
    <row r="54" spans="2:36" x14ac:dyDescent="0.35">
      <c r="B54" s="897">
        <f>INDEX('NPS with launch Dates '!$J$6:$J$59,MATCH('3.2 Model Logic'!$E54,'NPS with launch Dates '!$I$6:$I$59,0))</f>
        <v>45658</v>
      </c>
      <c r="C54" s="898" t="str">
        <f>INDEX('Raw Forecasting NPS Data'!$D$6:$D$166,MATCH('3.2 Model Logic'!$E54,'Raw Forecasting NPS Data'!$I$6:$I$166,0))</f>
        <v>Ovarian</v>
      </c>
      <c r="D54" s="898" t="str">
        <f>INDEX('MCODE Final Mapping'!$E$6:$E$76,MATCH('3.2 Model Logic'!$E54,'MCODE Final Mapping'!$D$6:$D$76,0))</f>
        <v>PROMO-US-2024 KEYTRUDA OVARIAN AND GYN</v>
      </c>
      <c r="E54" s="899" t="s">
        <v>278</v>
      </c>
      <c r="F54" s="900" t="str">
        <f>INDEX('2.  Sales Data Key &amp; Key-Lyn'!$D$7:$D$60,MATCH('3.2 Model Logic'!$E54,'2.  Sales Data Key &amp; Key-Lyn'!$C$7:$C$60,0))</f>
        <v>Planning Year</v>
      </c>
      <c r="G54" s="901"/>
      <c r="H54" s="960">
        <f>IF(INDEX('2.  Sales Data Key &amp; Key-Lyn'!$W$7:$W$60,MATCH('3.2 Model Logic'!$E54,'2.  Sales Data Key &amp; Key-Lyn'!$C$7:$C$60,0))="-",0,INDEX('2.  Sales Data Key &amp; Key-Lyn'!$W$7:$W$60,MATCH('3.2 Model Logic'!$E54,'2.  Sales Data Key &amp; Key-Lyn'!$C$7:$C$60,0)))</f>
        <v>95.759934243841258</v>
      </c>
      <c r="I54" s="902">
        <f t="shared" si="27"/>
        <v>3.4589541223689395E-2</v>
      </c>
      <c r="J54" s="903">
        <f t="shared" ca="1" si="28"/>
        <v>3.4247070518504355E-2</v>
      </c>
      <c r="K54" s="904">
        <f t="shared" ca="1" si="29"/>
        <v>0.42777737514531367</v>
      </c>
      <c r="L54" s="905">
        <f>SUMIFS('1. NPS Key &amp; Key-Lyn'!$AH$6:$AH$120,'1. NPS Key &amp; Key-Lyn'!$H$6:$H$120,'3.2 Model Logic'!$E54)</f>
        <v>360014921.52835518</v>
      </c>
      <c r="M54" s="902">
        <f t="shared" si="10"/>
        <v>0.29661348064424575</v>
      </c>
      <c r="N54" s="903">
        <f t="shared" ca="1" si="3"/>
        <v>0.29367671350915431</v>
      </c>
      <c r="O54" s="904">
        <f t="shared" ca="1" si="30"/>
        <v>3.068435014456516</v>
      </c>
      <c r="P54" s="906" t="str">
        <f>IFERROR(INDEX('3.1 Model Assumptions &amp; Inputs'!$F$21:$F$70,MATCH('3.2 Model Logic'!$E54,'3.1 Model Assumptions &amp; Inputs'!$B$21:$B$70,0)),"Low")</f>
        <v>High</v>
      </c>
      <c r="Q54" s="907">
        <v>1</v>
      </c>
      <c r="R54" s="908">
        <f t="shared" si="22"/>
        <v>1</v>
      </c>
      <c r="S54" s="907">
        <f t="shared" si="23"/>
        <v>1</v>
      </c>
      <c r="T54" s="904">
        <f t="shared" si="13"/>
        <v>1.6205569109589042</v>
      </c>
      <c r="U54" s="902">
        <f>IFERROR(INDEX('3.1 Model Assumptions &amp; Inputs'!$L$21:$L$70,MATCH('3.2 Model Logic'!$E54,'3.1 Model Assumptions &amp; Inputs'!$B$21:$B$70,0)),0)</f>
        <v>0.75</v>
      </c>
      <c r="V54" s="907">
        <f t="shared" si="14"/>
        <v>0.75</v>
      </c>
      <c r="W54" s="903">
        <f t="shared" ca="1" si="24"/>
        <v>0.74257425742574268</v>
      </c>
      <c r="X54" s="904">
        <f t="shared" ca="1" si="31"/>
        <v>4.0950226557692311</v>
      </c>
      <c r="Y54" s="909">
        <f>INDEX('3.1 Model Assumptions &amp; Inputs'!$R$21:$R$70,MATCH('3.2 Model Logic'!$E54,'3.1 Model Assumptions &amp; Inputs'!$B$21:$B$70,0))</f>
        <v>2</v>
      </c>
      <c r="Z54" s="907">
        <f t="shared" si="15"/>
        <v>0.5</v>
      </c>
      <c r="AA54" s="903">
        <f t="shared" ca="1" si="32"/>
        <v>0.4950495049504951</v>
      </c>
      <c r="AB54" s="904">
        <f t="shared" ca="1" si="16"/>
        <v>0.53168833483146083</v>
      </c>
      <c r="AC54" s="906" t="str">
        <f>SUBSTITUTE(INDEX('3.1 Model Assumptions &amp; Inputs'!$E$21:$E$70,MATCH('3.2 Model Logic'!$E54,'3.1 Model Assumptions &amp; Inputs'!$B$21:$B$70,0)),"Base","Low")</f>
        <v>Low</v>
      </c>
      <c r="AD54" s="902">
        <f t="shared" si="17"/>
        <v>1</v>
      </c>
      <c r="AE54" s="908">
        <f t="shared" si="25"/>
        <v>0</v>
      </c>
      <c r="AF54" s="907">
        <f t="shared" si="26"/>
        <v>0</v>
      </c>
      <c r="AG54" s="904">
        <f t="shared" si="19"/>
        <v>0</v>
      </c>
      <c r="AH54" s="910">
        <f t="shared" ca="1" si="33"/>
        <v>9.7434802911614256</v>
      </c>
      <c r="AI54" s="957">
        <f t="shared" ca="1" si="20"/>
        <v>4.1181007545319302E-2</v>
      </c>
      <c r="AJ54" s="957">
        <f t="shared" ca="1" si="21"/>
        <v>1</v>
      </c>
    </row>
    <row r="55" spans="2:36" x14ac:dyDescent="0.35">
      <c r="B55" s="433">
        <f>INDEX('NPS with launch Dates '!$J$6:$J$59,MATCH('3.2 Model Logic'!$E55,'NPS with launch Dates '!$I$6:$I$59,0))</f>
        <v>43497</v>
      </c>
      <c r="C55" s="274" t="str">
        <f>INDEX('Raw Forecasting NPS Data'!$D$6:$D$166,MATCH('3.2 Model Logic'!$E55,'Raw Forecasting NPS Data'!$I$6:$I$166,0))</f>
        <v>Melanoma Stage III</v>
      </c>
      <c r="D55" s="274" t="str">
        <f>INDEX('MCODE Final Mapping'!$E$6:$E$76,MATCH('3.2 Model Logic'!$E55,'MCODE Final Mapping'!$D$6:$D$76,0))</f>
        <v>PROMO-US-2024 KEYTRUDA SKIN CANCER</v>
      </c>
      <c r="E55" s="684" t="s">
        <v>173</v>
      </c>
      <c r="F55" s="704" t="str">
        <f>INDEX('2.  Sales Data Key &amp; Key-Lyn'!$D$7:$D$60,MATCH('3.2 Model Logic'!$E55,'2.  Sales Data Key &amp; Key-Lyn'!$C$7:$C$60,0))</f>
        <v>Mature</v>
      </c>
      <c r="G55" s="705"/>
      <c r="H55" s="961">
        <f>IF(INDEX('2.  Sales Data Key &amp; Key-Lyn'!$W$7:$W$60,MATCH('3.2 Model Logic'!$E55,'2.  Sales Data Key &amp; Key-Lyn'!$C$7:$C$60,0))="-",0,INDEX('2.  Sales Data Key &amp; Key-Lyn'!$W$7:$W$60,MATCH('3.2 Model Logic'!$E55,'2.  Sales Data Key &amp; Key-Lyn'!$C$7:$C$60,0)))</f>
        <v>192.6720997161375</v>
      </c>
      <c r="I55" s="276">
        <f t="shared" si="27"/>
        <v>6.9595281037014192E-2</v>
      </c>
      <c r="J55" s="277">
        <f t="shared" ca="1" si="28"/>
        <v>6.8906218848528905E-2</v>
      </c>
      <c r="K55" s="874">
        <f t="shared" ca="1" si="29"/>
        <v>0.86070198075147775</v>
      </c>
      <c r="L55" s="681">
        <f>SUMIFS('1. NPS Key &amp; Key-Lyn'!$AH$6:$AH$120,'1. NPS Key &amp; Key-Lyn'!$H$6:$H$120,'3.2 Model Logic'!$E55)</f>
        <v>63917855.629206836</v>
      </c>
      <c r="M55" s="276">
        <f t="shared" si="10"/>
        <v>5.2661421790547128E-2</v>
      </c>
      <c r="N55" s="277">
        <f t="shared" ca="1" si="3"/>
        <v>5.2140021574799134E-2</v>
      </c>
      <c r="O55" s="874">
        <f t="shared" ca="1" si="30"/>
        <v>0.5447768259966066</v>
      </c>
      <c r="P55" s="687" t="str">
        <f>IFERROR(INDEX('3.1 Model Assumptions &amp; Inputs'!$F$21:$F$70,MATCH('3.2 Model Logic'!$E55,'3.1 Model Assumptions &amp; Inputs'!$B$21:$B$70,0)),"Low")</f>
        <v>Low</v>
      </c>
      <c r="Q55" s="275">
        <v>1</v>
      </c>
      <c r="R55" s="278">
        <f t="shared" si="22"/>
        <v>0</v>
      </c>
      <c r="S55" s="275">
        <f t="shared" si="23"/>
        <v>0</v>
      </c>
      <c r="T55" s="874">
        <f t="shared" si="13"/>
        <v>0</v>
      </c>
      <c r="U55" s="276">
        <f>IFERROR(INDEX('3.1 Model Assumptions &amp; Inputs'!$L$21:$L$70,MATCH('3.2 Model Logic'!$E55,'3.1 Model Assumptions &amp; Inputs'!$B$21:$B$70,0)),0)</f>
        <v>0</v>
      </c>
      <c r="V55" s="275">
        <f t="shared" si="14"/>
        <v>0</v>
      </c>
      <c r="W55" s="277">
        <f t="shared" ca="1" si="24"/>
        <v>0</v>
      </c>
      <c r="X55" s="874">
        <f t="shared" ca="1" si="31"/>
        <v>0</v>
      </c>
      <c r="Y55" s="690">
        <f>INDEX('3.1 Model Assumptions &amp; Inputs'!$R$21:$R$70,MATCH('3.2 Model Logic'!$E55,'3.1 Model Assumptions &amp; Inputs'!$B$21:$B$70,0))</f>
        <v>3</v>
      </c>
      <c r="Z55" s="275">
        <f t="shared" si="15"/>
        <v>0.75</v>
      </c>
      <c r="AA55" s="277">
        <f t="shared" ca="1" si="32"/>
        <v>0.74257425742574257</v>
      </c>
      <c r="AB55" s="874">
        <f t="shared" ca="1" si="16"/>
        <v>0.79753250224719108</v>
      </c>
      <c r="AC55" s="687" t="str">
        <f>SUBSTITUTE(INDEX('3.1 Model Assumptions &amp; Inputs'!$E$21:$E$70,MATCH('3.2 Model Logic'!$E55,'3.1 Model Assumptions &amp; Inputs'!$B$21:$B$70,0)),"Base","Low")</f>
        <v>High</v>
      </c>
      <c r="AD55" s="276">
        <f t="shared" si="17"/>
        <v>0.2</v>
      </c>
      <c r="AE55" s="278">
        <f t="shared" si="25"/>
        <v>1</v>
      </c>
      <c r="AF55" s="275">
        <f t="shared" si="26"/>
        <v>0.2</v>
      </c>
      <c r="AG55" s="874">
        <f t="shared" si="19"/>
        <v>0.63220122645290544</v>
      </c>
      <c r="AH55" s="877">
        <f t="shared" ca="1" si="33"/>
        <v>2.8352125354481812</v>
      </c>
      <c r="AI55" s="958">
        <f t="shared" ca="1" si="20"/>
        <v>1.1983080513929788E-2</v>
      </c>
      <c r="AJ55" s="958">
        <f t="shared" ca="1" si="21"/>
        <v>0.18201479280164387</v>
      </c>
    </row>
    <row r="56" spans="2:36" x14ac:dyDescent="0.35">
      <c r="B56" s="433">
        <f>INDEX('NPS with launch Dates '!$J$6:$J$59,MATCH('3.2 Model Logic'!$E56,'NPS with launch Dates '!$I$6:$I$59,0))</f>
        <v>44531</v>
      </c>
      <c r="C56" s="274" t="str">
        <f>INDEX('Raw Forecasting NPS Data'!$D$6:$D$166,MATCH('3.2 Model Logic'!$E56,'Raw Forecasting NPS Data'!$I$6:$I$166,0))</f>
        <v>Melanoma Stage II</v>
      </c>
      <c r="D56" s="274" t="str">
        <f>INDEX('MCODE Final Mapping'!$E$6:$E$76,MATCH('3.2 Model Logic'!$E56,'MCODE Final Mapping'!$D$6:$D$76,0))</f>
        <v>PROMO-US-2024 KEYTRUDA SKIN CANCER</v>
      </c>
      <c r="E56" s="684" t="s">
        <v>177</v>
      </c>
      <c r="F56" s="704" t="str">
        <f>INDEX('2.  Sales Data Key &amp; Key-Lyn'!$D$7:$D$60,MATCH('3.2 Model Logic'!$E56,'2.  Sales Data Key &amp; Key-Lyn'!$C$7:$C$60,0))</f>
        <v>Established</v>
      </c>
      <c r="G56" s="705"/>
      <c r="H56" s="961">
        <f>IF(INDEX('2.  Sales Data Key &amp; Key-Lyn'!$W$7:$W$60,MATCH('3.2 Model Logic'!$E56,'2.  Sales Data Key &amp; Key-Lyn'!$C$7:$C$60,0))="-",0,INDEX('2.  Sales Data Key &amp; Key-Lyn'!$W$7:$W$60,MATCH('3.2 Model Logic'!$E56,'2.  Sales Data Key &amp; Key-Lyn'!$C$7:$C$60,0)))</f>
        <v>257.84799892088404</v>
      </c>
      <c r="I56" s="276">
        <f t="shared" si="27"/>
        <v>9.3137532502987772E-2</v>
      </c>
      <c r="J56" s="277">
        <f t="shared" ca="1" si="28"/>
        <v>9.2215378715829466E-2</v>
      </c>
      <c r="K56" s="874">
        <f t="shared" ca="1" si="29"/>
        <v>1.151854802698357</v>
      </c>
      <c r="L56" s="681">
        <f>SUMIFS('1. NPS Key &amp; Key-Lyn'!$AH$6:$AH$120,'1. NPS Key &amp; Key-Lyn'!$H$6:$H$120,'3.2 Model Logic'!$E56)</f>
        <v>201176185.59019446</v>
      </c>
      <c r="M56" s="276">
        <f t="shared" si="10"/>
        <v>0.16574748729113589</v>
      </c>
      <c r="N56" s="277">
        <f t="shared" ca="1" si="3"/>
        <v>0.16410642306053067</v>
      </c>
      <c r="O56" s="874">
        <f t="shared" ca="1" si="30"/>
        <v>1.7146401857988995</v>
      </c>
      <c r="P56" s="687" t="str">
        <f>IFERROR(INDEX('3.1 Model Assumptions &amp; Inputs'!$F$21:$F$70,MATCH('3.2 Model Logic'!$E56,'3.1 Model Assumptions &amp; Inputs'!$B$21:$B$70,0)),"Low")</f>
        <v>Medium</v>
      </c>
      <c r="Q56" s="275">
        <v>1</v>
      </c>
      <c r="R56" s="278">
        <f t="shared" si="22"/>
        <v>0.6</v>
      </c>
      <c r="S56" s="275">
        <f t="shared" si="23"/>
        <v>0.6</v>
      </c>
      <c r="T56" s="874">
        <f t="shared" si="13"/>
        <v>0.97233414657534256</v>
      </c>
      <c r="U56" s="276">
        <f>IFERROR(INDEX('3.1 Model Assumptions &amp; Inputs'!$L$21:$L$70,MATCH('3.2 Model Logic'!$E56,'3.1 Model Assumptions &amp; Inputs'!$B$21:$B$70,0)),0)</f>
        <v>0</v>
      </c>
      <c r="V56" s="275">
        <f t="shared" si="14"/>
        <v>0</v>
      </c>
      <c r="W56" s="277">
        <f t="shared" ca="1" si="24"/>
        <v>0</v>
      </c>
      <c r="X56" s="874">
        <f t="shared" ca="1" si="31"/>
        <v>0</v>
      </c>
      <c r="Y56" s="690">
        <f>INDEX('3.1 Model Assumptions &amp; Inputs'!$R$21:$R$70,MATCH('3.2 Model Logic'!$E56,'3.1 Model Assumptions &amp; Inputs'!$B$21:$B$70,0))</f>
        <v>3</v>
      </c>
      <c r="Z56" s="275">
        <f t="shared" si="15"/>
        <v>0.75</v>
      </c>
      <c r="AA56" s="277">
        <f t="shared" ca="1" si="32"/>
        <v>0.74257425742574257</v>
      </c>
      <c r="AB56" s="874">
        <f t="shared" ca="1" si="16"/>
        <v>0.79753250224719108</v>
      </c>
      <c r="AC56" s="687" t="str">
        <f>SUBSTITUTE(INDEX('3.1 Model Assumptions &amp; Inputs'!$E$21:$E$70,MATCH('3.2 Model Logic'!$E56,'3.1 Model Assumptions &amp; Inputs'!$B$21:$B$70,0)),"Base","Low")</f>
        <v>High</v>
      </c>
      <c r="AD56" s="276">
        <f t="shared" si="17"/>
        <v>0.2</v>
      </c>
      <c r="AE56" s="278">
        <f t="shared" si="25"/>
        <v>1</v>
      </c>
      <c r="AF56" s="275">
        <f t="shared" si="26"/>
        <v>0.2</v>
      </c>
      <c r="AG56" s="874">
        <f t="shared" si="19"/>
        <v>0.63220122645290544</v>
      </c>
      <c r="AH56" s="877">
        <f t="shared" ca="1" si="33"/>
        <v>5.2685628637726962</v>
      </c>
      <c r="AI56" s="958">
        <f t="shared" ca="1" si="20"/>
        <v>2.2267682651631888E-2</v>
      </c>
      <c r="AJ56" s="958">
        <f t="shared" ca="1" si="21"/>
        <v>0.33823086136307379</v>
      </c>
    </row>
    <row r="57" spans="2:36" x14ac:dyDescent="0.35">
      <c r="B57" s="433">
        <f>INDEX('NPS with launch Dates '!$J$6:$J$59,MATCH('3.2 Model Logic'!$E57,'NPS with launch Dates '!$I$6:$I$59,0))</f>
        <v>42005</v>
      </c>
      <c r="C57" s="274" t="str">
        <f>INDEX('Raw Forecasting NPS Data'!$D$6:$D$166,MATCH('3.2 Model Logic'!$E57,'Raw Forecasting NPS Data'!$I$6:$I$166,0))</f>
        <v>Melanoma</v>
      </c>
      <c r="D57" s="274" t="str">
        <f>INDEX('MCODE Final Mapping'!$E$6:$E$76,MATCH('3.2 Model Logic'!$E57,'MCODE Final Mapping'!$D$6:$D$76,0))</f>
        <v>PROMO-US-2024 KEYTRUDA SKIN CANCER</v>
      </c>
      <c r="E57" s="684" t="s">
        <v>181</v>
      </c>
      <c r="F57" s="704" t="str">
        <f>INDEX('2.  Sales Data Key &amp; Key-Lyn'!$D$7:$D$60,MATCH('3.2 Model Logic'!$E57,'2.  Sales Data Key &amp; Key-Lyn'!$C$7:$C$60,0))</f>
        <v>Later Life</v>
      </c>
      <c r="G57" s="705"/>
      <c r="H57" s="961">
        <f>IF(INDEX('2.  Sales Data Key &amp; Key-Lyn'!$W$7:$W$60,MATCH('3.2 Model Logic'!$E57,'2.  Sales Data Key &amp; Key-Lyn'!$C$7:$C$60,0))="-",0,INDEX('2.  Sales Data Key &amp; Key-Lyn'!$W$7:$W$60,MATCH('3.2 Model Logic'!$E57,'2.  Sales Data Key &amp; Key-Lyn'!$C$7:$C$60,0)))</f>
        <v>529.47460806640038</v>
      </c>
      <c r="I57" s="276">
        <f t="shared" si="27"/>
        <v>0.191252050528506</v>
      </c>
      <c r="J57" s="277">
        <f t="shared" ca="1" si="28"/>
        <v>0.18935846586980792</v>
      </c>
      <c r="K57" s="874">
        <f t="shared" ca="1" si="29"/>
        <v>2.3652612111030713</v>
      </c>
      <c r="L57" s="681">
        <f>SUMIFS('1. NPS Key &amp; Key-Lyn'!$AH$6:$AH$120,'1. NPS Key &amp; Key-Lyn'!$H$6:$H$120,'3.2 Model Logic'!$E57)</f>
        <v>85758268.094579518</v>
      </c>
      <c r="M57" s="276">
        <f t="shared" si="10"/>
        <v>7.0655566956971672E-2</v>
      </c>
      <c r="N57" s="277">
        <f t="shared" ca="1" si="3"/>
        <v>6.9956006888090769E-2</v>
      </c>
      <c r="O57" s="874">
        <f t="shared" ca="1" si="30"/>
        <v>0.7309243502559416</v>
      </c>
      <c r="P57" s="687" t="str">
        <f>IFERROR(INDEX('3.1 Model Assumptions &amp; Inputs'!$F$21:$F$70,MATCH('3.2 Model Logic'!$E57,'3.1 Model Assumptions &amp; Inputs'!$B$21:$B$70,0)),"Low")</f>
        <v>Low</v>
      </c>
      <c r="Q57" s="275">
        <v>1</v>
      </c>
      <c r="R57" s="278">
        <f t="shared" si="22"/>
        <v>0</v>
      </c>
      <c r="S57" s="275">
        <f t="shared" si="23"/>
        <v>0</v>
      </c>
      <c r="T57" s="874">
        <f t="shared" si="13"/>
        <v>0</v>
      </c>
      <c r="U57" s="276">
        <f>IFERROR(INDEX('3.1 Model Assumptions &amp; Inputs'!$L$21:$L$70,MATCH('3.2 Model Logic'!$E57,'3.1 Model Assumptions &amp; Inputs'!$B$21:$B$70,0)),0)</f>
        <v>0</v>
      </c>
      <c r="V57" s="275">
        <f t="shared" si="14"/>
        <v>0</v>
      </c>
      <c r="W57" s="277">
        <f t="shared" ca="1" si="24"/>
        <v>0</v>
      </c>
      <c r="X57" s="874">
        <f t="shared" ca="1" si="31"/>
        <v>0</v>
      </c>
      <c r="Y57" s="690">
        <f>INDEX('3.1 Model Assumptions &amp; Inputs'!$R$21:$R$70,MATCH('3.2 Model Logic'!$E57,'3.1 Model Assumptions &amp; Inputs'!$B$21:$B$70,0))</f>
        <v>2</v>
      </c>
      <c r="Z57" s="275">
        <f t="shared" si="15"/>
        <v>0.5</v>
      </c>
      <c r="AA57" s="277">
        <f t="shared" ca="1" si="32"/>
        <v>0.4950495049504951</v>
      </c>
      <c r="AB57" s="874">
        <f t="shared" ca="1" si="16"/>
        <v>0.53168833483146083</v>
      </c>
      <c r="AC57" s="687" t="str">
        <f>SUBSTITUTE(INDEX('3.1 Model Assumptions &amp; Inputs'!$E$21:$E$70,MATCH('3.2 Model Logic'!$E57,'3.1 Model Assumptions &amp; Inputs'!$B$21:$B$70,0)),"Base","Low")</f>
        <v>High</v>
      </c>
      <c r="AD57" s="276">
        <f t="shared" si="17"/>
        <v>0.2</v>
      </c>
      <c r="AE57" s="278">
        <f t="shared" si="25"/>
        <v>1</v>
      </c>
      <c r="AF57" s="275">
        <f t="shared" si="26"/>
        <v>0.2</v>
      </c>
      <c r="AG57" s="874">
        <f t="shared" si="19"/>
        <v>0.63220122645290544</v>
      </c>
      <c r="AH57" s="877">
        <f t="shared" ca="1" si="33"/>
        <v>4.2600751226433786</v>
      </c>
      <c r="AI57" s="958">
        <f t="shared" ca="1" si="20"/>
        <v>1.8005289745220209E-2</v>
      </c>
      <c r="AJ57" s="958">
        <f t="shared" ca="1" si="21"/>
        <v>0.27348802993522314</v>
      </c>
    </row>
    <row r="58" spans="2:36" x14ac:dyDescent="0.35">
      <c r="B58" s="433">
        <f>INDEX('NPS with launch Dates '!$J$6:$J$59,MATCH('3.2 Model Logic'!$E58,'NPS with launch Dates '!$I$6:$I$59,0))</f>
        <v>42005</v>
      </c>
      <c r="C58" s="274" t="str">
        <f>INDEX('Raw Forecasting NPS Data'!$D$6:$D$166,MATCH('3.2 Model Logic'!$E58,'Raw Forecasting NPS Data'!$I$6:$I$166,0))</f>
        <v>Melanoma</v>
      </c>
      <c r="D58" s="274" t="str">
        <f>INDEX('MCODE Final Mapping'!$E$6:$E$76,MATCH('3.2 Model Logic'!$E58,'MCODE Final Mapping'!$D$6:$D$76,0))</f>
        <v>PROMO-US-2024 KEYTRUDA SKIN CANCER</v>
      </c>
      <c r="E58" s="684" t="s">
        <v>184</v>
      </c>
      <c r="F58" s="704" t="str">
        <f>INDEX('2.  Sales Data Key &amp; Key-Lyn'!$D$7:$D$60,MATCH('3.2 Model Logic'!$E58,'2.  Sales Data Key &amp; Key-Lyn'!$C$7:$C$60,0))</f>
        <v>Later Life</v>
      </c>
      <c r="G58" s="705"/>
      <c r="H58" s="961">
        <f>IF(INDEX('2.  Sales Data Key &amp; Key-Lyn'!$W$7:$W$60,MATCH('3.2 Model Logic'!$E58,'2.  Sales Data Key &amp; Key-Lyn'!$C$7:$C$60,0))="-",0,INDEX('2.  Sales Data Key &amp; Key-Lyn'!$W$7:$W$60,MATCH('3.2 Model Logic'!$E58,'2.  Sales Data Key &amp; Key-Lyn'!$C$7:$C$60,0)))</f>
        <v>0</v>
      </c>
      <c r="I58" s="276">
        <f t="shared" si="27"/>
        <v>0</v>
      </c>
      <c r="J58" s="277">
        <f t="shared" ca="1" si="28"/>
        <v>0</v>
      </c>
      <c r="K58" s="874">
        <f t="shared" ca="1" si="29"/>
        <v>0</v>
      </c>
      <c r="L58" s="681">
        <f>SUMIFS('1. NPS Key &amp; Key-Lyn'!$AH$6:$AH$120,'1. NPS Key &amp; Key-Lyn'!$H$6:$H$120,'3.2 Model Logic'!$E58)</f>
        <v>38443516.687240064</v>
      </c>
      <c r="M58" s="276">
        <f t="shared" si="10"/>
        <v>3.1673312996026243E-2</v>
      </c>
      <c r="N58" s="277">
        <f t="shared" ca="1" si="3"/>
        <v>3.1359715837649745E-2</v>
      </c>
      <c r="O58" s="874">
        <f t="shared" ca="1" si="30"/>
        <v>0.3276570653827191</v>
      </c>
      <c r="P58" s="687" t="str">
        <f>IFERROR(INDEX('3.1 Model Assumptions &amp; Inputs'!$F$21:$F$70,MATCH('3.2 Model Logic'!$E58,'3.1 Model Assumptions &amp; Inputs'!$B$21:$B$70,0)),"Low")</f>
        <v>Low</v>
      </c>
      <c r="Q58" s="275">
        <v>1</v>
      </c>
      <c r="R58" s="278">
        <f t="shared" si="22"/>
        <v>0</v>
      </c>
      <c r="S58" s="275">
        <f t="shared" si="23"/>
        <v>0</v>
      </c>
      <c r="T58" s="874">
        <f t="shared" si="13"/>
        <v>0</v>
      </c>
      <c r="U58" s="276">
        <f>IFERROR(INDEX('3.1 Model Assumptions &amp; Inputs'!$L$21:$L$70,MATCH('3.2 Model Logic'!$E58,'3.1 Model Assumptions &amp; Inputs'!$B$21:$B$70,0)),0)</f>
        <v>0</v>
      </c>
      <c r="V58" s="275">
        <f t="shared" si="14"/>
        <v>0</v>
      </c>
      <c r="W58" s="277">
        <f t="shared" ca="1" si="24"/>
        <v>0</v>
      </c>
      <c r="X58" s="874">
        <f t="shared" ca="1" si="31"/>
        <v>0</v>
      </c>
      <c r="Y58" s="690">
        <f>INDEX('3.1 Model Assumptions &amp; Inputs'!$R$21:$R$70,MATCH('3.2 Model Logic'!$E58,'3.1 Model Assumptions &amp; Inputs'!$B$21:$B$70,0))</f>
        <v>2</v>
      </c>
      <c r="Z58" s="275">
        <f t="shared" si="15"/>
        <v>0.5</v>
      </c>
      <c r="AA58" s="277">
        <f t="shared" ca="1" si="32"/>
        <v>0.4950495049504951</v>
      </c>
      <c r="AB58" s="874">
        <f t="shared" ca="1" si="16"/>
        <v>0.53168833483146083</v>
      </c>
      <c r="AC58" s="687" t="str">
        <f>SUBSTITUTE(INDEX('3.1 Model Assumptions &amp; Inputs'!$E$21:$E$70,MATCH('3.2 Model Logic'!$E58,'3.1 Model Assumptions &amp; Inputs'!$B$21:$B$70,0)),"Base","Low")</f>
        <v>High</v>
      </c>
      <c r="AD58" s="276">
        <f t="shared" si="17"/>
        <v>0.2</v>
      </c>
      <c r="AE58" s="278">
        <f t="shared" si="25"/>
        <v>1</v>
      </c>
      <c r="AF58" s="275">
        <f t="shared" si="26"/>
        <v>0.2</v>
      </c>
      <c r="AG58" s="874">
        <f t="shared" si="19"/>
        <v>0.63220122645290544</v>
      </c>
      <c r="AH58" s="877">
        <f t="shared" ca="1" si="33"/>
        <v>1.4915466266670854</v>
      </c>
      <c r="AI58" s="958">
        <f t="shared" ca="1" si="20"/>
        <v>6.3040506114320997E-3</v>
      </c>
      <c r="AJ58" s="958">
        <f t="shared" ca="1" si="21"/>
        <v>9.5754214829571901E-2</v>
      </c>
    </row>
    <row r="59" spans="2:36" ht="15" thickBot="1" x14ac:dyDescent="0.4">
      <c r="B59" s="434">
        <f>INDEX('NPS with launch Dates '!$J$6:$J$59,MATCH('3.2 Model Logic'!$E59,'NPS with launch Dates '!$I$6:$I$59,0))</f>
        <v>43101</v>
      </c>
      <c r="C59" s="435" t="str">
        <f>INDEX('Raw Forecasting NPS Data'!$D$6:$D$166,MATCH('3.2 Model Logic'!$E59,'Raw Forecasting NPS Data'!$I$6:$I$166,0))</f>
        <v>Merkel Cell</v>
      </c>
      <c r="D59" s="435" t="str">
        <f>INDEX('MCODE Final Mapping'!$E$6:$E$76,MATCH('3.2 Model Logic'!$E59,'MCODE Final Mapping'!$D$6:$D$76,0))</f>
        <v>PROMO-US-2024 KEYTRUDA SKIN CANCER</v>
      </c>
      <c r="E59" s="685" t="s">
        <v>188</v>
      </c>
      <c r="F59" s="708" t="str">
        <f>INDEX('2.  Sales Data Key &amp; Key-Lyn'!$D$7:$D$60,MATCH('3.2 Model Logic'!$E59,'2.  Sales Data Key &amp; Key-Lyn'!$C$7:$C$60,0))</f>
        <v>Mature</v>
      </c>
      <c r="G59" s="709"/>
      <c r="H59" s="962">
        <f>IF(INDEX('2.  Sales Data Key &amp; Key-Lyn'!$W$7:$W$60,MATCH('3.2 Model Logic'!$E59,'2.  Sales Data Key &amp; Key-Lyn'!$C$7:$C$60,0))="-",0,INDEX('2.  Sales Data Key &amp; Key-Lyn'!$W$7:$W$60,MATCH('3.2 Model Logic'!$E59,'2.  Sales Data Key &amp; Key-Lyn'!$C$7:$C$60,0)))</f>
        <v>78.281504448140666</v>
      </c>
      <c r="I59" s="436">
        <f t="shared" si="27"/>
        <v>2.8276140188928038E-2</v>
      </c>
      <c r="J59" s="437">
        <f t="shared" ca="1" si="28"/>
        <v>2.7996178404879248E-2</v>
      </c>
      <c r="K59" s="875">
        <f t="shared" ca="1" si="29"/>
        <v>0.34969798966215881</v>
      </c>
      <c r="L59" s="682">
        <f>SUMIFS('1. NPS Key &amp; Key-Lyn'!$AH$6:$AH$120,'1. NPS Key &amp; Key-Lyn'!$H$6:$H$120,'3.2 Model Logic'!$E59)</f>
        <v>24385568.255999994</v>
      </c>
      <c r="M59" s="436">
        <f t="shared" si="10"/>
        <v>2.0091079134147226E-2</v>
      </c>
      <c r="N59" s="437">
        <f t="shared" ca="1" si="3"/>
        <v>1.9892157558561611E-2</v>
      </c>
      <c r="O59" s="875">
        <f t="shared" ca="1" si="30"/>
        <v>0.20784008386784694</v>
      </c>
      <c r="P59" s="688" t="str">
        <f>IFERROR(INDEX('3.1 Model Assumptions &amp; Inputs'!$F$21:$F$70,MATCH('3.2 Model Logic'!$E59,'3.1 Model Assumptions &amp; Inputs'!$B$21:$B$70,0)),"Low")</f>
        <v>Low</v>
      </c>
      <c r="Q59" s="438">
        <v>1</v>
      </c>
      <c r="R59" s="439">
        <f t="shared" si="22"/>
        <v>0</v>
      </c>
      <c r="S59" s="438">
        <f t="shared" si="23"/>
        <v>0</v>
      </c>
      <c r="T59" s="875">
        <f t="shared" si="13"/>
        <v>0</v>
      </c>
      <c r="U59" s="436">
        <f>IFERROR(INDEX('3.1 Model Assumptions &amp; Inputs'!$L$21:$L$70,MATCH('3.2 Model Logic'!$E59,'3.1 Model Assumptions &amp; Inputs'!$B$21:$B$70,0)),0)</f>
        <v>0</v>
      </c>
      <c r="V59" s="438">
        <f t="shared" si="14"/>
        <v>0</v>
      </c>
      <c r="W59" s="437">
        <f t="shared" ca="1" si="24"/>
        <v>0</v>
      </c>
      <c r="X59" s="875">
        <f t="shared" ca="1" si="31"/>
        <v>0</v>
      </c>
      <c r="Y59" s="691">
        <f>INDEX('3.1 Model Assumptions &amp; Inputs'!$R$21:$R$70,MATCH('3.2 Model Logic'!$E59,'3.1 Model Assumptions &amp; Inputs'!$B$21:$B$70,0))</f>
        <v>2</v>
      </c>
      <c r="Z59" s="438">
        <f t="shared" si="15"/>
        <v>0.5</v>
      </c>
      <c r="AA59" s="437">
        <f t="shared" ca="1" si="32"/>
        <v>0.4950495049504951</v>
      </c>
      <c r="AB59" s="875">
        <f t="shared" ca="1" si="16"/>
        <v>0.53168833483146083</v>
      </c>
      <c r="AC59" s="688" t="str">
        <f>SUBSTITUTE(INDEX('3.1 Model Assumptions &amp; Inputs'!$E$21:$E$70,MATCH('3.2 Model Logic'!$E59,'3.1 Model Assumptions &amp; Inputs'!$B$21:$B$70,0)),"Base","Low")</f>
        <v>High</v>
      </c>
      <c r="AD59" s="436">
        <f t="shared" si="17"/>
        <v>0.2</v>
      </c>
      <c r="AE59" s="439">
        <f t="shared" si="25"/>
        <v>1</v>
      </c>
      <c r="AF59" s="438">
        <f t="shared" si="26"/>
        <v>0.2</v>
      </c>
      <c r="AG59" s="875">
        <f t="shared" si="19"/>
        <v>0.63220122645290544</v>
      </c>
      <c r="AH59" s="878">
        <f t="shared" ca="1" si="33"/>
        <v>1.721427634814372</v>
      </c>
      <c r="AI59" s="958">
        <f t="shared" ca="1" si="20"/>
        <v>7.2756471301448789E-3</v>
      </c>
      <c r="AJ59" s="958">
        <f t="shared" ca="1" si="21"/>
        <v>0.11051210107048724</v>
      </c>
    </row>
    <row r="78" spans="16:16" x14ac:dyDescent="0.35">
      <c r="P78" s="265" t="s">
        <v>1102</v>
      </c>
    </row>
  </sheetData>
  <autoFilter ref="B9:AG59" xr:uid="{D94E4221-8563-481F-AE0C-F452FCA3DF96}">
    <filterColumn colId="17" showButton="0"/>
    <filterColumn colId="30" showButton="0"/>
  </autoFilter>
  <mergeCells count="16">
    <mergeCell ref="F5:G5"/>
    <mergeCell ref="F6:G6"/>
    <mergeCell ref="P7:R7"/>
    <mergeCell ref="U7:W7"/>
    <mergeCell ref="Y7:AA7"/>
    <mergeCell ref="AH7:AH9"/>
    <mergeCell ref="F8:G8"/>
    <mergeCell ref="H8:K8"/>
    <mergeCell ref="L8:O8"/>
    <mergeCell ref="P8:T8"/>
    <mergeCell ref="U8:X8"/>
    <mergeCell ref="Y8:AB8"/>
    <mergeCell ref="AC8:AG8"/>
    <mergeCell ref="S9:T9"/>
    <mergeCell ref="AF9:AG9"/>
    <mergeCell ref="AC7:AE7"/>
  </mergeCell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6566-7ED9-410A-9847-C8471BCFE2BB}">
  <sheetPr>
    <tabColor theme="5" tint="0.39997558519241921"/>
    <pageSetUpPr autoPageBreaks="0"/>
  </sheetPr>
  <dimension ref="A1:H87"/>
  <sheetViews>
    <sheetView topLeftCell="A25" zoomScale="85" zoomScaleNormal="85" workbookViewId="0">
      <selection activeCell="C46" sqref="C46"/>
    </sheetView>
  </sheetViews>
  <sheetFormatPr defaultRowHeight="14.5" x14ac:dyDescent="0.35"/>
  <cols>
    <col min="2" max="2" width="19.7265625" bestFit="1" customWidth="1"/>
    <col min="3" max="3" width="13.54296875" style="253" customWidth="1"/>
    <col min="4" max="4" width="12.26953125" style="253" customWidth="1"/>
    <col min="8" max="8" width="11.26953125" customWidth="1"/>
  </cols>
  <sheetData>
    <row r="1" spans="1:8" x14ac:dyDescent="0.35">
      <c r="A1" s="174" t="s">
        <v>526</v>
      </c>
    </row>
    <row r="2" spans="1:8" x14ac:dyDescent="0.35">
      <c r="A2" t="s">
        <v>527</v>
      </c>
    </row>
    <row r="3" spans="1:8" x14ac:dyDescent="0.35">
      <c r="A3" s="254" t="s">
        <v>528</v>
      </c>
    </row>
    <row r="4" spans="1:8" x14ac:dyDescent="0.35">
      <c r="B4" t="s">
        <v>529</v>
      </c>
      <c r="C4" s="253" t="s">
        <v>530</v>
      </c>
      <c r="D4" s="253" t="s">
        <v>531</v>
      </c>
      <c r="E4" s="2"/>
      <c r="F4" s="2"/>
      <c r="G4" s="2" t="s">
        <v>532</v>
      </c>
      <c r="H4" s="2"/>
    </row>
    <row r="5" spans="1:8" x14ac:dyDescent="0.35">
      <c r="A5" s="255" t="s">
        <v>533</v>
      </c>
      <c r="B5" s="255" t="s">
        <v>534</v>
      </c>
      <c r="C5" s="256">
        <v>0</v>
      </c>
      <c r="D5" s="256">
        <f t="shared" ref="D5:D10" si="0">C5/$G$5</f>
        <v>0</v>
      </c>
      <c r="F5" t="s">
        <v>533</v>
      </c>
      <c r="G5">
        <v>1.01</v>
      </c>
    </row>
    <row r="6" spans="1:8" x14ac:dyDescent="0.35">
      <c r="A6" s="255" t="s">
        <v>533</v>
      </c>
      <c r="B6" s="255" t="s">
        <v>534</v>
      </c>
      <c r="C6" s="256">
        <v>1.7000000000000001E-2</v>
      </c>
      <c r="D6" s="256">
        <f t="shared" si="0"/>
        <v>1.6831683168316833E-2</v>
      </c>
      <c r="F6" t="s">
        <v>535</v>
      </c>
      <c r="G6">
        <v>1.01</v>
      </c>
    </row>
    <row r="7" spans="1:8" x14ac:dyDescent="0.35">
      <c r="A7" s="255" t="s">
        <v>533</v>
      </c>
      <c r="B7" s="255" t="s">
        <v>534</v>
      </c>
      <c r="C7" s="256">
        <v>2.86603569604247E-2</v>
      </c>
      <c r="D7" s="256">
        <f t="shared" si="0"/>
        <v>2.8376591049925445E-2</v>
      </c>
      <c r="F7" t="s">
        <v>536</v>
      </c>
      <c r="G7">
        <v>1.01</v>
      </c>
    </row>
    <row r="8" spans="1:8" x14ac:dyDescent="0.35">
      <c r="A8" s="255" t="s">
        <v>533</v>
      </c>
      <c r="B8" s="255" t="s">
        <v>534</v>
      </c>
      <c r="C8" s="256">
        <v>0.10322811529540774</v>
      </c>
      <c r="D8" s="256">
        <f t="shared" si="0"/>
        <v>0.10220605474792845</v>
      </c>
      <c r="F8" t="s">
        <v>537</v>
      </c>
      <c r="G8">
        <v>1.01</v>
      </c>
    </row>
    <row r="9" spans="1:8" x14ac:dyDescent="0.35">
      <c r="A9" s="255" t="s">
        <v>533</v>
      </c>
      <c r="B9" s="255" t="s">
        <v>534</v>
      </c>
      <c r="C9" s="256">
        <v>0.12497883093635305</v>
      </c>
      <c r="D9" s="256">
        <f t="shared" si="0"/>
        <v>0.12374141676866639</v>
      </c>
      <c r="F9" t="s">
        <v>538</v>
      </c>
      <c r="G9">
        <v>1.01</v>
      </c>
    </row>
    <row r="10" spans="1:8" x14ac:dyDescent="0.35">
      <c r="A10" s="255" t="s">
        <v>533</v>
      </c>
      <c r="B10" s="255" t="s">
        <v>534</v>
      </c>
      <c r="C10" s="256">
        <v>0.5</v>
      </c>
      <c r="D10" s="256">
        <f t="shared" si="0"/>
        <v>0.49504950495049505</v>
      </c>
      <c r="F10" t="s">
        <v>539</v>
      </c>
      <c r="G10">
        <v>1.01</v>
      </c>
    </row>
    <row r="11" spans="1:8" x14ac:dyDescent="0.35">
      <c r="A11" s="255" t="s">
        <v>533</v>
      </c>
      <c r="B11" s="255" t="s">
        <v>534</v>
      </c>
      <c r="C11" s="256">
        <f>G5</f>
        <v>1.01</v>
      </c>
      <c r="D11" s="256">
        <v>1</v>
      </c>
      <c r="F11" t="s">
        <v>554</v>
      </c>
      <c r="G11">
        <v>1.01</v>
      </c>
    </row>
    <row r="12" spans="1:8" x14ac:dyDescent="0.35">
      <c r="A12" t="s">
        <v>535</v>
      </c>
      <c r="B12" t="s">
        <v>540</v>
      </c>
      <c r="C12" s="257">
        <v>0</v>
      </c>
      <c r="D12" s="257">
        <f>C12/$G$6</f>
        <v>0</v>
      </c>
    </row>
    <row r="13" spans="1:8" x14ac:dyDescent="0.35">
      <c r="A13" t="s">
        <v>535</v>
      </c>
      <c r="B13" t="s">
        <v>540</v>
      </c>
      <c r="C13" s="257">
        <v>0.03</v>
      </c>
      <c r="D13" s="257">
        <f>C13/$G$6</f>
        <v>2.9702970297029702E-2</v>
      </c>
    </row>
    <row r="14" spans="1:8" x14ac:dyDescent="0.35">
      <c r="A14" t="s">
        <v>535</v>
      </c>
      <c r="B14" t="s">
        <v>540</v>
      </c>
      <c r="C14" s="257">
        <v>0.12</v>
      </c>
      <c r="D14" s="257">
        <f>C14/$G$6</f>
        <v>0.11881188118811881</v>
      </c>
    </row>
    <row r="15" spans="1:8" x14ac:dyDescent="0.35">
      <c r="A15" t="s">
        <v>535</v>
      </c>
      <c r="B15" t="s">
        <v>540</v>
      </c>
      <c r="C15" s="257">
        <v>0.5</v>
      </c>
      <c r="D15" s="257">
        <f>C15/$G$6</f>
        <v>0.49504950495049505</v>
      </c>
    </row>
    <row r="16" spans="1:8" x14ac:dyDescent="0.35">
      <c r="A16" t="s">
        <v>535</v>
      </c>
      <c r="B16" t="s">
        <v>540</v>
      </c>
      <c r="C16" s="257">
        <f>G6</f>
        <v>1.01</v>
      </c>
      <c r="D16" s="257">
        <v>1</v>
      </c>
    </row>
    <row r="17" spans="1:4" x14ac:dyDescent="0.35">
      <c r="A17" s="255" t="s">
        <v>536</v>
      </c>
      <c r="B17" s="255" t="s">
        <v>541</v>
      </c>
      <c r="C17" s="256">
        <v>0</v>
      </c>
      <c r="D17" s="256">
        <f>C17/$G$7</f>
        <v>0</v>
      </c>
    </row>
    <row r="18" spans="1:4" x14ac:dyDescent="0.35">
      <c r="A18" s="255" t="s">
        <v>536</v>
      </c>
      <c r="B18" s="255" t="s">
        <v>541</v>
      </c>
      <c r="C18" s="256">
        <v>0.03</v>
      </c>
      <c r="D18" s="256">
        <f>C18/$G$7</f>
        <v>2.9702970297029702E-2</v>
      </c>
    </row>
    <row r="19" spans="1:4" x14ac:dyDescent="0.35">
      <c r="A19" s="255" t="s">
        <v>536</v>
      </c>
      <c r="B19" s="255" t="s">
        <v>541</v>
      </c>
      <c r="C19" s="256">
        <v>0.12</v>
      </c>
      <c r="D19" s="256">
        <f>C19/$G$7</f>
        <v>0.11881188118811881</v>
      </c>
    </row>
    <row r="20" spans="1:4" x14ac:dyDescent="0.35">
      <c r="A20" s="255" t="s">
        <v>536</v>
      </c>
      <c r="B20" s="255" t="s">
        <v>541</v>
      </c>
      <c r="C20" s="256">
        <v>0.5</v>
      </c>
      <c r="D20" s="256">
        <f>C20/$G$7</f>
        <v>0.49504950495049505</v>
      </c>
    </row>
    <row r="21" spans="1:4" x14ac:dyDescent="0.35">
      <c r="A21" s="255" t="s">
        <v>536</v>
      </c>
      <c r="B21" s="255" t="s">
        <v>541</v>
      </c>
      <c r="C21" s="256">
        <f>G7</f>
        <v>1.01</v>
      </c>
      <c r="D21" s="256">
        <v>1</v>
      </c>
    </row>
    <row r="22" spans="1:4" x14ac:dyDescent="0.35">
      <c r="A22" t="s">
        <v>537</v>
      </c>
      <c r="B22" t="s">
        <v>542</v>
      </c>
      <c r="C22" s="257">
        <v>0</v>
      </c>
      <c r="D22" s="257">
        <f>C22/$G$8</f>
        <v>0</v>
      </c>
    </row>
    <row r="23" spans="1:4" x14ac:dyDescent="0.35">
      <c r="A23" t="s">
        <v>537</v>
      </c>
      <c r="B23" t="s">
        <v>542</v>
      </c>
      <c r="C23" s="257">
        <v>0.15</v>
      </c>
      <c r="D23" s="257">
        <f>C23/$G$8</f>
        <v>0.14851485148514851</v>
      </c>
    </row>
    <row r="24" spans="1:4" x14ac:dyDescent="0.35">
      <c r="A24" t="s">
        <v>537</v>
      </c>
      <c r="B24" t="s">
        <v>542</v>
      </c>
      <c r="C24" s="257">
        <f>G8</f>
        <v>1.01</v>
      </c>
      <c r="D24" s="257">
        <v>1</v>
      </c>
    </row>
    <row r="25" spans="1:4" x14ac:dyDescent="0.35">
      <c r="A25" s="255" t="s">
        <v>538</v>
      </c>
      <c r="B25" s="255" t="s">
        <v>543</v>
      </c>
      <c r="C25" s="256">
        <v>0</v>
      </c>
      <c r="D25" s="256">
        <f>C25/$G$9</f>
        <v>0</v>
      </c>
    </row>
    <row r="26" spans="1:4" x14ac:dyDescent="0.35">
      <c r="A26" s="255" t="s">
        <v>538</v>
      </c>
      <c r="B26" s="255" t="s">
        <v>543</v>
      </c>
      <c r="C26" s="256">
        <v>0.15</v>
      </c>
      <c r="D26" s="256">
        <f>C26/$G$9</f>
        <v>0.14851485148514851</v>
      </c>
    </row>
    <row r="27" spans="1:4" x14ac:dyDescent="0.35">
      <c r="A27" s="255" t="s">
        <v>538</v>
      </c>
      <c r="B27" s="255" t="s">
        <v>543</v>
      </c>
      <c r="C27" s="256">
        <f>G9</f>
        <v>1.01</v>
      </c>
      <c r="D27" s="256">
        <v>1</v>
      </c>
    </row>
    <row r="28" spans="1:4" x14ac:dyDescent="0.35">
      <c r="A28" t="s">
        <v>539</v>
      </c>
      <c r="B28" t="s">
        <v>544</v>
      </c>
      <c r="C28" s="257">
        <v>0</v>
      </c>
      <c r="D28" s="257">
        <f>+C28/$G$10</f>
        <v>0</v>
      </c>
    </row>
    <row r="29" spans="1:4" x14ac:dyDescent="0.35">
      <c r="A29" t="s">
        <v>539</v>
      </c>
      <c r="B29" t="s">
        <v>544</v>
      </c>
      <c r="C29" s="257">
        <v>0.15</v>
      </c>
      <c r="D29" s="257">
        <f>+C29/$G$10</f>
        <v>0.14851485148514851</v>
      </c>
    </row>
    <row r="30" spans="1:4" x14ac:dyDescent="0.35">
      <c r="A30" t="s">
        <v>539</v>
      </c>
      <c r="B30" t="s">
        <v>544</v>
      </c>
      <c r="C30" s="257">
        <f>G10</f>
        <v>1.01</v>
      </c>
      <c r="D30" s="257">
        <v>1</v>
      </c>
    </row>
    <row r="31" spans="1:4" x14ac:dyDescent="0.35">
      <c r="A31" s="255" t="s">
        <v>545</v>
      </c>
      <c r="B31" s="255" t="s">
        <v>546</v>
      </c>
      <c r="C31" s="258" t="s">
        <v>459</v>
      </c>
      <c r="D31" s="258">
        <v>1</v>
      </c>
    </row>
    <row r="32" spans="1:4" x14ac:dyDescent="0.35">
      <c r="A32" s="255" t="s">
        <v>545</v>
      </c>
      <c r="B32" s="255" t="s">
        <v>546</v>
      </c>
      <c r="C32" s="258" t="s">
        <v>461</v>
      </c>
      <c r="D32" s="258">
        <v>0.6</v>
      </c>
    </row>
    <row r="33" spans="1:4" x14ac:dyDescent="0.35">
      <c r="A33" s="255" t="s">
        <v>545</v>
      </c>
      <c r="B33" s="255" t="s">
        <v>546</v>
      </c>
      <c r="C33" s="258" t="s">
        <v>460</v>
      </c>
      <c r="D33" s="259">
        <v>0</v>
      </c>
    </row>
    <row r="34" spans="1:4" x14ac:dyDescent="0.35">
      <c r="A34" t="s">
        <v>547</v>
      </c>
      <c r="B34" t="s">
        <v>548</v>
      </c>
      <c r="C34" s="253" t="s">
        <v>459</v>
      </c>
      <c r="D34" s="253">
        <v>1</v>
      </c>
    </row>
    <row r="35" spans="1:4" x14ac:dyDescent="0.35">
      <c r="A35" t="s">
        <v>547</v>
      </c>
      <c r="B35" t="s">
        <v>548</v>
      </c>
      <c r="C35" s="253" t="s">
        <v>461</v>
      </c>
      <c r="D35" s="253">
        <v>0.4</v>
      </c>
    </row>
    <row r="36" spans="1:4" x14ac:dyDescent="0.35">
      <c r="A36" t="s">
        <v>547</v>
      </c>
      <c r="B36" t="s">
        <v>548</v>
      </c>
      <c r="C36" s="253" t="s">
        <v>460</v>
      </c>
      <c r="D36" s="253">
        <v>0.2</v>
      </c>
    </row>
    <row r="37" spans="1:4" x14ac:dyDescent="0.35">
      <c r="A37" t="s">
        <v>547</v>
      </c>
      <c r="B37" t="s">
        <v>548</v>
      </c>
      <c r="C37" s="253" t="s">
        <v>549</v>
      </c>
      <c r="D37" s="253">
        <v>0</v>
      </c>
    </row>
    <row r="38" spans="1:4" x14ac:dyDescent="0.35">
      <c r="A38" s="255" t="s">
        <v>550</v>
      </c>
      <c r="B38" s="255" t="s">
        <v>551</v>
      </c>
      <c r="C38" s="255">
        <v>0</v>
      </c>
      <c r="D38" s="255">
        <f>+C38*0.4</f>
        <v>0</v>
      </c>
    </row>
    <row r="39" spans="1:4" x14ac:dyDescent="0.35">
      <c r="A39" s="255" t="s">
        <v>550</v>
      </c>
      <c r="B39" s="255" t="s">
        <v>551</v>
      </c>
      <c r="C39" s="255">
        <v>1</v>
      </c>
      <c r="D39" s="255">
        <v>0.5</v>
      </c>
    </row>
    <row r="40" spans="1:4" x14ac:dyDescent="0.35">
      <c r="A40" s="255" t="s">
        <v>550</v>
      </c>
      <c r="B40" s="255" t="s">
        <v>551</v>
      </c>
      <c r="C40" s="255">
        <v>2.0009999999999999</v>
      </c>
      <c r="D40" s="255">
        <v>1</v>
      </c>
    </row>
    <row r="41" spans="1:4" x14ac:dyDescent="0.35">
      <c r="A41" t="s">
        <v>552</v>
      </c>
      <c r="B41" t="s">
        <v>553</v>
      </c>
      <c r="C41">
        <v>0</v>
      </c>
      <c r="D41">
        <f>+C41*0.4</f>
        <v>0</v>
      </c>
    </row>
    <row r="42" spans="1:4" x14ac:dyDescent="0.35">
      <c r="A42" t="s">
        <v>552</v>
      </c>
      <c r="B42" t="s">
        <v>553</v>
      </c>
      <c r="C42">
        <v>1</v>
      </c>
      <c r="D42">
        <v>0.5</v>
      </c>
    </row>
    <row r="43" spans="1:4" x14ac:dyDescent="0.35">
      <c r="A43" t="s">
        <v>552</v>
      </c>
      <c r="B43" t="s">
        <v>553</v>
      </c>
      <c r="C43">
        <v>2.0009999999999999</v>
      </c>
      <c r="D43">
        <v>1</v>
      </c>
    </row>
    <row r="44" spans="1:4" x14ac:dyDescent="0.35">
      <c r="A44" s="255" t="s">
        <v>554</v>
      </c>
      <c r="B44" s="255" t="s">
        <v>555</v>
      </c>
      <c r="C44" s="256">
        <v>0</v>
      </c>
      <c r="D44" s="256">
        <f>C44/$G$11</f>
        <v>0</v>
      </c>
    </row>
    <row r="45" spans="1:4" x14ac:dyDescent="0.35">
      <c r="A45" s="255" t="s">
        <v>554</v>
      </c>
      <c r="B45" s="255" t="s">
        <v>555</v>
      </c>
      <c r="C45" s="256">
        <v>0.15</v>
      </c>
      <c r="D45" s="256">
        <f>C45/$G$11</f>
        <v>0.14851485148514851</v>
      </c>
    </row>
    <row r="46" spans="1:4" x14ac:dyDescent="0.35">
      <c r="A46" s="255" t="s">
        <v>554</v>
      </c>
      <c r="B46" s="255" t="s">
        <v>555</v>
      </c>
      <c r="C46" s="256">
        <f>+G11</f>
        <v>1.01</v>
      </c>
      <c r="D46" s="256">
        <v>1</v>
      </c>
    </row>
    <row r="47" spans="1:4" x14ac:dyDescent="0.35">
      <c r="A47" t="s">
        <v>556</v>
      </c>
      <c r="B47" t="s">
        <v>447</v>
      </c>
      <c r="C47" s="253" t="s">
        <v>459</v>
      </c>
      <c r="D47" s="253">
        <v>1</v>
      </c>
    </row>
    <row r="48" spans="1:4" x14ac:dyDescent="0.35">
      <c r="A48" t="s">
        <v>556</v>
      </c>
      <c r="B48" t="s">
        <v>447</v>
      </c>
      <c r="C48" s="253" t="s">
        <v>461</v>
      </c>
      <c r="D48" s="253">
        <v>0.5</v>
      </c>
    </row>
    <row r="49" spans="1:7" x14ac:dyDescent="0.35">
      <c r="A49" t="s">
        <v>556</v>
      </c>
      <c r="B49" t="s">
        <v>447</v>
      </c>
      <c r="C49" s="253" t="s">
        <v>460</v>
      </c>
      <c r="D49" s="253">
        <v>0</v>
      </c>
    </row>
    <row r="50" spans="1:7" x14ac:dyDescent="0.35">
      <c r="A50" t="s">
        <v>556</v>
      </c>
      <c r="B50" t="s">
        <v>447</v>
      </c>
      <c r="C50" s="253" t="s">
        <v>549</v>
      </c>
      <c r="D50" s="253">
        <v>0</v>
      </c>
    </row>
    <row r="54" spans="1:7" x14ac:dyDescent="0.35">
      <c r="A54" t="s">
        <v>557</v>
      </c>
    </row>
    <row r="55" spans="1:7" x14ac:dyDescent="0.35">
      <c r="B55" t="s">
        <v>529</v>
      </c>
      <c r="C55" s="260" t="s">
        <v>530</v>
      </c>
      <c r="D55" s="260" t="s">
        <v>531</v>
      </c>
    </row>
    <row r="56" spans="1:7" x14ac:dyDescent="0.35">
      <c r="A56" s="255" t="s">
        <v>558</v>
      </c>
      <c r="B56" s="255" t="s">
        <v>559</v>
      </c>
      <c r="C56" s="261" t="s">
        <v>459</v>
      </c>
      <c r="D56" s="261">
        <v>1</v>
      </c>
    </row>
    <row r="57" spans="1:7" x14ac:dyDescent="0.35">
      <c r="A57" s="255" t="s">
        <v>558</v>
      </c>
      <c r="B57" s="255" t="s">
        <v>559</v>
      </c>
      <c r="C57" s="261" t="s">
        <v>461</v>
      </c>
      <c r="D57" s="261">
        <v>0.4</v>
      </c>
      <c r="F57" s="2"/>
      <c r="G57" s="2" t="s">
        <v>532</v>
      </c>
    </row>
    <row r="58" spans="1:7" x14ac:dyDescent="0.35">
      <c r="A58" s="255" t="s">
        <v>558</v>
      </c>
      <c r="B58" s="255" t="s">
        <v>559</v>
      </c>
      <c r="C58" s="261" t="s">
        <v>460</v>
      </c>
      <c r="D58" s="262">
        <v>0.2</v>
      </c>
      <c r="F58" t="s">
        <v>560</v>
      </c>
      <c r="G58">
        <v>1.01</v>
      </c>
    </row>
    <row r="59" spans="1:7" x14ac:dyDescent="0.35">
      <c r="A59" t="s">
        <v>560</v>
      </c>
      <c r="B59" t="s">
        <v>454</v>
      </c>
      <c r="C59" s="260">
        <v>0</v>
      </c>
      <c r="D59" s="263">
        <f>+C59/$G$58</f>
        <v>0</v>
      </c>
    </row>
    <row r="60" spans="1:7" x14ac:dyDescent="0.35">
      <c r="A60" t="s">
        <v>560</v>
      </c>
      <c r="B60" t="s">
        <v>454</v>
      </c>
      <c r="C60" s="260">
        <v>0.3</v>
      </c>
      <c r="D60" s="263">
        <f t="shared" ref="D60:D61" si="1">+C60/$G$58</f>
        <v>0.29702970297029702</v>
      </c>
    </row>
    <row r="61" spans="1:7" x14ac:dyDescent="0.35">
      <c r="A61" t="s">
        <v>560</v>
      </c>
      <c r="B61" t="s">
        <v>454</v>
      </c>
      <c r="C61" s="260">
        <v>0.6</v>
      </c>
      <c r="D61" s="263">
        <f t="shared" si="1"/>
        <v>0.59405940594059403</v>
      </c>
    </row>
    <row r="62" spans="1:7" x14ac:dyDescent="0.35">
      <c r="A62" t="s">
        <v>560</v>
      </c>
      <c r="B62" t="s">
        <v>454</v>
      </c>
      <c r="C62" s="260">
        <f>+G58</f>
        <v>1.01</v>
      </c>
      <c r="D62" s="263">
        <v>1</v>
      </c>
    </row>
    <row r="63" spans="1:7" x14ac:dyDescent="0.35">
      <c r="A63" s="255" t="s">
        <v>561</v>
      </c>
      <c r="B63" s="255" t="s">
        <v>447</v>
      </c>
      <c r="C63" s="261" t="s">
        <v>459</v>
      </c>
      <c r="D63" s="261">
        <v>1</v>
      </c>
    </row>
    <row r="64" spans="1:7" x14ac:dyDescent="0.35">
      <c r="A64" s="255" t="s">
        <v>561</v>
      </c>
      <c r="B64" s="255" t="s">
        <v>447</v>
      </c>
      <c r="C64" s="261" t="s">
        <v>461</v>
      </c>
      <c r="D64" s="261">
        <v>0.4</v>
      </c>
    </row>
    <row r="65" spans="1:4" x14ac:dyDescent="0.35">
      <c r="A65" s="255" t="s">
        <v>561</v>
      </c>
      <c r="B65" s="255" t="s">
        <v>447</v>
      </c>
      <c r="C65" s="261" t="s">
        <v>460</v>
      </c>
      <c r="D65" s="262">
        <v>0.1</v>
      </c>
    </row>
    <row r="69" spans="1:4" x14ac:dyDescent="0.35">
      <c r="A69" t="s">
        <v>562</v>
      </c>
    </row>
    <row r="70" spans="1:4" x14ac:dyDescent="0.35">
      <c r="B70" t="s">
        <v>529</v>
      </c>
      <c r="C70" s="260" t="s">
        <v>530</v>
      </c>
      <c r="D70" s="260" t="s">
        <v>531</v>
      </c>
    </row>
    <row r="71" spans="1:4" x14ac:dyDescent="0.35">
      <c r="A71" t="s">
        <v>563</v>
      </c>
      <c r="B71" t="s">
        <v>546</v>
      </c>
      <c r="C71" s="260" t="s">
        <v>459</v>
      </c>
      <c r="D71" s="260">
        <v>1</v>
      </c>
    </row>
    <row r="72" spans="1:4" x14ac:dyDescent="0.35">
      <c r="A72" t="s">
        <v>563</v>
      </c>
      <c r="B72" t="s">
        <v>546</v>
      </c>
      <c r="C72" s="260" t="s">
        <v>461</v>
      </c>
      <c r="D72" s="260">
        <v>0.5</v>
      </c>
    </row>
    <row r="73" spans="1:4" x14ac:dyDescent="0.35">
      <c r="A73" t="s">
        <v>563</v>
      </c>
      <c r="B73" t="s">
        <v>546</v>
      </c>
      <c r="C73" s="260" t="s">
        <v>460</v>
      </c>
      <c r="D73" s="264">
        <v>0</v>
      </c>
    </row>
    <row r="74" spans="1:4" x14ac:dyDescent="0.35">
      <c r="A74" s="255" t="s">
        <v>564</v>
      </c>
      <c r="B74" s="255" t="s">
        <v>447</v>
      </c>
      <c r="C74" s="261" t="s">
        <v>459</v>
      </c>
      <c r="D74" s="261">
        <v>1</v>
      </c>
    </row>
    <row r="75" spans="1:4" x14ac:dyDescent="0.35">
      <c r="A75" s="255" t="s">
        <v>564</v>
      </c>
      <c r="B75" s="255" t="s">
        <v>447</v>
      </c>
      <c r="C75" s="261" t="s">
        <v>461</v>
      </c>
      <c r="D75" s="261">
        <v>0.5</v>
      </c>
    </row>
    <row r="76" spans="1:4" x14ac:dyDescent="0.35">
      <c r="A76" s="255" t="s">
        <v>564</v>
      </c>
      <c r="B76" s="255" t="s">
        <v>447</v>
      </c>
      <c r="C76" s="261" t="s">
        <v>460</v>
      </c>
      <c r="D76" s="262">
        <v>0</v>
      </c>
    </row>
    <row r="80" spans="1:4" x14ac:dyDescent="0.35">
      <c r="A80" t="s">
        <v>565</v>
      </c>
    </row>
    <row r="81" spans="1:4" x14ac:dyDescent="0.35">
      <c r="B81" t="s">
        <v>529</v>
      </c>
      <c r="C81" s="260" t="s">
        <v>530</v>
      </c>
      <c r="D81" s="260" t="s">
        <v>531</v>
      </c>
    </row>
    <row r="82" spans="1:4" x14ac:dyDescent="0.35">
      <c r="A82" t="s">
        <v>566</v>
      </c>
      <c r="B82" t="s">
        <v>546</v>
      </c>
      <c r="C82" s="260" t="s">
        <v>459</v>
      </c>
      <c r="D82" s="260">
        <v>1</v>
      </c>
    </row>
    <row r="83" spans="1:4" x14ac:dyDescent="0.35">
      <c r="A83" t="s">
        <v>566</v>
      </c>
      <c r="B83" t="s">
        <v>546</v>
      </c>
      <c r="C83" s="260" t="s">
        <v>461</v>
      </c>
      <c r="D83" s="260">
        <v>0.5</v>
      </c>
    </row>
    <row r="84" spans="1:4" x14ac:dyDescent="0.35">
      <c r="A84" t="s">
        <v>566</v>
      </c>
      <c r="B84" t="s">
        <v>546</v>
      </c>
      <c r="C84" s="260" t="s">
        <v>460</v>
      </c>
      <c r="D84" s="264">
        <v>0</v>
      </c>
    </row>
    <row r="85" spans="1:4" x14ac:dyDescent="0.35">
      <c r="A85" s="255" t="s">
        <v>567</v>
      </c>
      <c r="B85" s="255" t="s">
        <v>447</v>
      </c>
      <c r="C85" s="261" t="s">
        <v>459</v>
      </c>
      <c r="D85" s="261">
        <v>1</v>
      </c>
    </row>
    <row r="86" spans="1:4" x14ac:dyDescent="0.35">
      <c r="A86" s="255" t="s">
        <v>567</v>
      </c>
      <c r="B86" s="255" t="s">
        <v>447</v>
      </c>
      <c r="C86" s="261" t="s">
        <v>461</v>
      </c>
      <c r="D86" s="261">
        <v>0.5</v>
      </c>
    </row>
    <row r="87" spans="1:4" x14ac:dyDescent="0.35">
      <c r="A87" s="255" t="s">
        <v>567</v>
      </c>
      <c r="B87" s="255" t="s">
        <v>447</v>
      </c>
      <c r="C87" s="261" t="s">
        <v>460</v>
      </c>
      <c r="D87" s="262">
        <v>0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1F8D-5177-4D49-AC24-29EB71AD2DB3}">
  <sheetPr>
    <tabColor theme="5" tint="0.39997558519241921"/>
    <pageSetUpPr autoPageBreaks="0"/>
  </sheetPr>
  <dimension ref="A1:Q32"/>
  <sheetViews>
    <sheetView topLeftCell="A4" zoomScale="120" zoomScaleNormal="120" workbookViewId="0">
      <selection activeCell="A7" sqref="A7:H24"/>
    </sheetView>
  </sheetViews>
  <sheetFormatPr defaultRowHeight="14.5" outlineLevelRow="1" x14ac:dyDescent="0.35"/>
  <cols>
    <col min="1" max="1" width="39.90625" customWidth="1"/>
    <col min="2" max="2" width="11.453125" bestFit="1" customWidth="1"/>
    <col min="3" max="3" width="12.453125" customWidth="1"/>
    <col min="4" max="4" width="12.7265625" customWidth="1"/>
    <col min="5" max="5" width="12.54296875" customWidth="1"/>
    <col min="6" max="6" width="13.54296875" customWidth="1"/>
    <col min="7" max="7" width="11.1796875" customWidth="1"/>
    <col min="8" max="8" width="13.26953125" customWidth="1"/>
    <col min="9" max="9" width="5.54296875" customWidth="1"/>
    <col min="10" max="12" width="9.7265625" customWidth="1"/>
    <col min="13" max="13" width="2.54296875" customWidth="1"/>
    <col min="14" max="16" width="9.7265625" customWidth="1"/>
    <col min="17" max="17" width="5.81640625" style="448" customWidth="1"/>
    <col min="18" max="18" width="20.453125" customWidth="1"/>
  </cols>
  <sheetData>
    <row r="1" spans="1:16" x14ac:dyDescent="0.35">
      <c r="A1" s="174" t="s">
        <v>526</v>
      </c>
    </row>
    <row r="2" spans="1:16" x14ac:dyDescent="0.35">
      <c r="A2" t="s">
        <v>774</v>
      </c>
    </row>
    <row r="3" spans="1:16" x14ac:dyDescent="0.35">
      <c r="A3" t="s">
        <v>775</v>
      </c>
    </row>
    <row r="4" spans="1:16" x14ac:dyDescent="0.35">
      <c r="A4" s="449" t="s">
        <v>1256</v>
      </c>
    </row>
    <row r="5" spans="1:16" x14ac:dyDescent="0.35">
      <c r="A5" s="449"/>
      <c r="J5" t="s">
        <v>1257</v>
      </c>
      <c r="N5" t="s">
        <v>778</v>
      </c>
    </row>
    <row r="6" spans="1:16" x14ac:dyDescent="0.35">
      <c r="A6" s="450"/>
      <c r="B6" s="1062" t="s">
        <v>779</v>
      </c>
      <c r="C6" s="1063" t="str">
        <f>+[1]Output!$L$1</f>
        <v>do not use</v>
      </c>
      <c r="D6" s="1063" t="str">
        <f>+[1]Output!$L$1</f>
        <v>do not use</v>
      </c>
      <c r="E6" s="1063" t="str">
        <f>+[1]Output!$L$1</f>
        <v>do not use</v>
      </c>
      <c r="F6" s="1063" t="str">
        <f>+[1]Output!$L$1</f>
        <v>do not use</v>
      </c>
      <c r="G6" s="1063" t="str">
        <f>+[1]Output!$L$1</f>
        <v>do not use</v>
      </c>
      <c r="H6" s="1064" t="str">
        <f>+[1]Output!$L$1</f>
        <v>do not use</v>
      </c>
      <c r="J6" s="1065" t="s">
        <v>780</v>
      </c>
      <c r="K6" s="1066"/>
      <c r="L6" s="451"/>
      <c r="N6" s="1065" t="s">
        <v>781</v>
      </c>
      <c r="O6" s="1066"/>
      <c r="P6" s="451"/>
    </row>
    <row r="7" spans="1:16" ht="26.5" x14ac:dyDescent="0.35">
      <c r="A7" s="452" t="s">
        <v>593</v>
      </c>
      <c r="B7" s="453" t="s">
        <v>782</v>
      </c>
      <c r="C7" s="453" t="s">
        <v>783</v>
      </c>
      <c r="D7" s="453" t="s">
        <v>509</v>
      </c>
      <c r="E7" s="453" t="s">
        <v>454</v>
      </c>
      <c r="F7" s="453" t="s">
        <v>1236</v>
      </c>
      <c r="G7" s="453" t="s">
        <v>447</v>
      </c>
      <c r="H7" s="454" t="s">
        <v>589</v>
      </c>
      <c r="J7" s="944" t="s">
        <v>785</v>
      </c>
      <c r="K7" s="944" t="s">
        <v>786</v>
      </c>
      <c r="L7" s="944" t="s">
        <v>787</v>
      </c>
      <c r="N7" s="944" t="s">
        <v>788</v>
      </c>
      <c r="O7" s="944" t="s">
        <v>786</v>
      </c>
      <c r="P7" s="944" t="s">
        <v>787</v>
      </c>
    </row>
    <row r="8" spans="1:16" x14ac:dyDescent="0.35">
      <c r="A8" s="456" t="s">
        <v>1133</v>
      </c>
      <c r="B8" s="462">
        <f ca="1">SUMIFS('3.2 Model Logic'!$K$10:$K$59,'3.2 Model Logic'!$D$10:$D$59,'4.1 Output - Key $ by Tumor'!$A8)</f>
        <v>6.6217757559783212</v>
      </c>
      <c r="C8" s="462">
        <f ca="1">SUMIFS('3.2 Model Logic'!$O$10:$O$59,'3.2 Model Logic'!$D$10:$D$59,'4.1 Output - Key $ by Tumor'!$A8)</f>
        <v>5.2501000913530289</v>
      </c>
      <c r="D8" s="462">
        <f>SUMIFS('3.2 Model Logic'!$T$10:$T$59,'3.2 Model Logic'!$D$10:$D$59,'4.1 Output - Key $ by Tumor'!$A8)</f>
        <v>1.9446682931506851</v>
      </c>
      <c r="E8" s="462">
        <f ca="1">SUMIFS('3.2 Model Logic'!$X$10:$X$59,'3.2 Model Logic'!$D$10:$D$59,'4.1 Output - Key $ by Tumor'!$A8)</f>
        <v>6.8250377596153839</v>
      </c>
      <c r="F8" s="462">
        <f ca="1">SUMIFS('3.2 Model Logic'!$AB$10:$AB$59,'3.2 Model Logic'!$D$10:$D$59,'4.1 Output - Key $ by Tumor'!$A8)</f>
        <v>4.7851950134831469</v>
      </c>
      <c r="G8" s="462">
        <f>SUMIFS('3.2 Model Logic'!$AG$10:$AG$59,'3.2 Model Logic'!$D$10:$D$59,'4.1 Output - Key $ by Tumor'!$A8)</f>
        <v>4.6940941064128232</v>
      </c>
      <c r="H8" s="458">
        <f ca="1">SUM(B8:G8)</f>
        <v>30.120871019993388</v>
      </c>
      <c r="J8" s="945"/>
      <c r="K8" s="946"/>
      <c r="L8" s="947"/>
      <c r="N8" s="945"/>
      <c r="O8" s="946"/>
      <c r="P8" s="947"/>
    </row>
    <row r="9" spans="1:16" x14ac:dyDescent="0.35">
      <c r="A9" s="456" t="s">
        <v>1134</v>
      </c>
      <c r="B9" s="462">
        <f ca="1">SUMIFS('3.2 Model Logic'!$K$10:$K$59,'3.2 Model Logic'!$D$10:$D$59,'4.1 Output - Key $ by Tumor'!$A9)</f>
        <v>1.2392056128178266</v>
      </c>
      <c r="C9" s="462">
        <f ca="1">SUMIFS('3.2 Model Logic'!$O$10:$O$59,'3.2 Model Logic'!$D$10:$D$59,'4.1 Output - Key $ by Tumor'!$A9)</f>
        <v>2.7006291418918602</v>
      </c>
      <c r="D9" s="462">
        <f>SUMIFS('3.2 Model Logic'!$T$10:$T$59,'3.2 Model Logic'!$D$10:$D$59,'4.1 Output - Key $ by Tumor'!$A9)</f>
        <v>0</v>
      </c>
      <c r="E9" s="462">
        <f ca="1">SUMIFS('3.2 Model Logic'!$X$10:$X$59,'3.2 Model Logic'!$D$10:$D$59,'4.1 Output - Key $ by Tumor'!$A9)</f>
        <v>1.3650075519230767</v>
      </c>
      <c r="F9" s="462">
        <f ca="1">SUMIFS('3.2 Model Logic'!$AB$10:$AB$59,'3.2 Model Logic'!$D$10:$D$59,'4.1 Output - Key $ by Tumor'!$A9)</f>
        <v>0.26584416741573047</v>
      </c>
      <c r="G9" s="462">
        <f>SUMIFS('3.2 Model Logic'!$AG$10:$AG$59,'3.2 Model Logic'!$D$10:$D$59,'4.1 Output - Key $ by Tumor'!$A9)</f>
        <v>0</v>
      </c>
      <c r="H9" s="458">
        <f t="shared" ref="H9:H24" ca="1" si="0">SUM(B9:G9)</f>
        <v>5.570686474048494</v>
      </c>
      <c r="J9" s="948"/>
      <c r="K9" s="946"/>
      <c r="L9" s="947"/>
      <c r="N9" s="948"/>
      <c r="O9" s="946"/>
      <c r="P9" s="947"/>
    </row>
    <row r="10" spans="1:16" x14ac:dyDescent="0.35">
      <c r="A10" s="456" t="s">
        <v>1136</v>
      </c>
      <c r="B10" s="462">
        <f ca="1">SUMIFS('3.2 Model Logic'!$K$10:$K$59,'3.2 Model Logic'!$D$10:$D$59,'4.1 Output - Key $ by Tumor'!$A10)</f>
        <v>4.5538887783011868</v>
      </c>
      <c r="C10" s="462">
        <f ca="1">SUMIFS('3.2 Model Logic'!$O$10:$O$59,'3.2 Model Logic'!$D$10:$D$59,'4.1 Output - Key $ by Tumor'!$A10)</f>
        <v>3.0372678030152489</v>
      </c>
      <c r="D10" s="462">
        <f>SUMIFS('3.2 Model Logic'!$T$10:$T$59,'3.2 Model Logic'!$D$10:$D$59,'4.1 Output - Key $ by Tumor'!$A10)</f>
        <v>1.6205569109589042</v>
      </c>
      <c r="E10" s="462">
        <f ca="1">SUMIFS('3.2 Model Logic'!$X$10:$X$59,'3.2 Model Logic'!$D$10:$D$59,'4.1 Output - Key $ by Tumor'!$A10)</f>
        <v>0</v>
      </c>
      <c r="F10" s="462">
        <f ca="1">SUMIFS('3.2 Model Logic'!$AB$10:$AB$59,'3.2 Model Logic'!$D$10:$D$59,'4.1 Output - Key $ by Tumor'!$A10)</f>
        <v>0.26584416741573047</v>
      </c>
      <c r="G10" s="462">
        <f>SUMIFS('3.2 Model Logic'!$AG$10:$AG$59,'3.2 Model Logic'!$D$10:$D$59,'4.1 Output - Key $ by Tumor'!$A10)</f>
        <v>1.5805030661322637</v>
      </c>
      <c r="H10" s="458">
        <f t="shared" ca="1" si="0"/>
        <v>11.058060725823335</v>
      </c>
      <c r="J10" s="948"/>
      <c r="K10" s="946"/>
      <c r="L10" s="947"/>
      <c r="N10" s="948"/>
      <c r="O10" s="946"/>
      <c r="P10" s="947"/>
    </row>
    <row r="11" spans="1:16" x14ac:dyDescent="0.35">
      <c r="A11" s="456" t="s">
        <v>1138</v>
      </c>
      <c r="B11" s="462">
        <f ca="1">SUMIFS('3.2 Model Logic'!$K$10:$K$59,'3.2 Model Logic'!$D$10:$D$59,'4.1 Output - Key $ by Tumor'!$A11)</f>
        <v>3.1187798938464604</v>
      </c>
      <c r="C11" s="462">
        <f ca="1">SUMIFS('3.2 Model Logic'!$O$10:$O$59,'3.2 Model Logic'!$D$10:$D$59,'4.1 Output - Key $ by Tumor'!$A11)</f>
        <v>7.1581292447080225</v>
      </c>
      <c r="D11" s="462">
        <f>SUMIFS('3.2 Model Logic'!$T$10:$T$59,'3.2 Model Logic'!$D$10:$D$59,'4.1 Output - Key $ by Tumor'!$A11)</f>
        <v>1.6205569109589042</v>
      </c>
      <c r="E11" s="462">
        <f ca="1">SUMIFS('3.2 Model Logic'!$X$10:$X$59,'3.2 Model Logic'!$D$10:$D$59,'4.1 Output - Key $ by Tumor'!$A11)</f>
        <v>5.4600302076923075</v>
      </c>
      <c r="F11" s="462">
        <f ca="1">SUMIFS('3.2 Model Logic'!$AB$10:$AB$59,'3.2 Model Logic'!$D$10:$D$59,'4.1 Output - Key $ by Tumor'!$A11)</f>
        <v>2.1267533393258433</v>
      </c>
      <c r="G11" s="462">
        <f>SUMIFS('3.2 Model Logic'!$AG$10:$AG$59,'3.2 Model Logic'!$D$10:$D$59,'4.1 Output - Key $ by Tumor'!$A11)</f>
        <v>0</v>
      </c>
      <c r="H11" s="458">
        <f t="shared" ca="1" si="0"/>
        <v>19.484249596531541</v>
      </c>
      <c r="J11" s="948"/>
      <c r="K11" s="946"/>
      <c r="L11" s="947"/>
      <c r="N11" s="948"/>
      <c r="O11" s="946"/>
      <c r="P11" s="947"/>
    </row>
    <row r="12" spans="1:16" x14ac:dyDescent="0.35">
      <c r="A12" s="456" t="s">
        <v>1142</v>
      </c>
      <c r="B12" s="462">
        <f ca="1">SUMIFS('3.2 Model Logic'!$K$10:$K$59,'3.2 Model Logic'!$D$10:$D$59,'4.1 Output - Key $ by Tumor'!$A12)</f>
        <v>0.63933747340034031</v>
      </c>
      <c r="C12" s="462">
        <f ca="1">SUMIFS('3.2 Model Logic'!$O$10:$O$59,'3.2 Model Logic'!$D$10:$D$59,'4.1 Output - Key $ by Tumor'!$A12)</f>
        <v>0.33137970841879394</v>
      </c>
      <c r="D12" s="462">
        <f>SUMIFS('3.2 Model Logic'!$T$10:$T$59,'3.2 Model Logic'!$D$10:$D$59,'4.1 Output - Key $ by Tumor'!$A12)</f>
        <v>0</v>
      </c>
      <c r="E12" s="462">
        <f ca="1">SUMIFS('3.2 Model Logic'!$X$10:$X$59,'3.2 Model Logic'!$D$10:$D$59,'4.1 Output - Key $ by Tumor'!$A12)</f>
        <v>0</v>
      </c>
      <c r="F12" s="462">
        <f ca="1">SUMIFS('3.2 Model Logic'!$AB$10:$AB$59,'3.2 Model Logic'!$D$10:$D$59,'4.1 Output - Key $ by Tumor'!$A12)</f>
        <v>0.26584416741573047</v>
      </c>
      <c r="G12" s="462">
        <f>SUMIFS('3.2 Model Logic'!$AG$10:$AG$59,'3.2 Model Logic'!$D$10:$D$59,'4.1 Output - Key $ by Tumor'!$A12)</f>
        <v>0</v>
      </c>
      <c r="H12" s="458">
        <f t="shared" ca="1" si="0"/>
        <v>1.2365613492348646</v>
      </c>
      <c r="J12" s="948"/>
      <c r="K12" s="946"/>
      <c r="L12" s="947"/>
      <c r="N12" s="948"/>
      <c r="O12" s="946"/>
      <c r="P12" s="947"/>
    </row>
    <row r="13" spans="1:16" x14ac:dyDescent="0.35">
      <c r="A13" s="456" t="s">
        <v>1143</v>
      </c>
      <c r="B13" s="462">
        <f ca="1">SUMIFS('3.2 Model Logic'!$K$10:$K$59,'3.2 Model Logic'!$D$10:$D$59,'4.1 Output - Key $ by Tumor'!$A13)</f>
        <v>10.005251858154626</v>
      </c>
      <c r="C13" s="462">
        <f ca="1">SUMIFS('3.2 Model Logic'!$O$10:$O$59,'3.2 Model Logic'!$D$10:$D$59,'4.1 Output - Key $ by Tumor'!$A13)</f>
        <v>11.184545416310323</v>
      </c>
      <c r="D13" s="462">
        <f>SUMIFS('3.2 Model Logic'!$T$10:$T$59,'3.2 Model Logic'!$D$10:$D$59,'4.1 Output - Key $ by Tumor'!$A13)</f>
        <v>1.6205569109589042</v>
      </c>
      <c r="E13" s="462">
        <f ca="1">SUMIFS('3.2 Model Logic'!$X$10:$X$59,'3.2 Model Logic'!$D$10:$D$59,'4.1 Output - Key $ by Tumor'!$A13)</f>
        <v>0</v>
      </c>
      <c r="F13" s="462">
        <f ca="1">SUMIFS('3.2 Model Logic'!$AB$10:$AB$59,'3.2 Model Logic'!$D$10:$D$59,'4.1 Output - Key $ by Tumor'!$A13)</f>
        <v>2.3925975067415735</v>
      </c>
      <c r="G13" s="462">
        <f>SUMIFS('3.2 Model Logic'!$AG$10:$AG$59,'3.2 Model Logic'!$D$10:$D$59,'4.1 Output - Key $ by Tumor'!$A13)</f>
        <v>3.1610061322645273</v>
      </c>
      <c r="H13" s="458">
        <f t="shared" ca="1" si="0"/>
        <v>28.363957824429956</v>
      </c>
      <c r="J13" s="948"/>
      <c r="K13" s="946"/>
      <c r="L13" s="947"/>
      <c r="N13" s="948"/>
      <c r="O13" s="946"/>
      <c r="P13" s="947"/>
    </row>
    <row r="14" spans="1:16" x14ac:dyDescent="0.35">
      <c r="A14" s="456" t="s">
        <v>1144</v>
      </c>
      <c r="B14" s="462">
        <f ca="1">SUMIFS('3.2 Model Logic'!$K$10:$K$59,'3.2 Model Logic'!$D$10:$D$59,'4.1 Output - Key $ by Tumor'!$A14)</f>
        <v>4.7275159842150654</v>
      </c>
      <c r="C14" s="462">
        <f ca="1">SUMIFS('3.2 Model Logic'!$O$10:$O$59,'3.2 Model Logic'!$D$10:$D$59,'4.1 Output - Key $ by Tumor'!$A14)</f>
        <v>3.5258385113020134</v>
      </c>
      <c r="D14" s="462">
        <f>SUMIFS('3.2 Model Logic'!$T$10:$T$59,'3.2 Model Logic'!$D$10:$D$59,'4.1 Output - Key $ by Tumor'!$A14)</f>
        <v>0.97233414657534256</v>
      </c>
      <c r="E14" s="462">
        <f ca="1">SUMIFS('3.2 Model Logic'!$X$10:$X$59,'3.2 Model Logic'!$D$10:$D$59,'4.1 Output - Key $ by Tumor'!$A14)</f>
        <v>0</v>
      </c>
      <c r="F14" s="462">
        <f ca="1">SUMIFS('3.2 Model Logic'!$AB$10:$AB$59,'3.2 Model Logic'!$D$10:$D$59,'4.1 Output - Key $ by Tumor'!$A14)</f>
        <v>3.1901300089887643</v>
      </c>
      <c r="G14" s="462">
        <f>SUMIFS('3.2 Model Logic'!$AG$10:$AG$59,'3.2 Model Logic'!$D$10:$D$59,'4.1 Output - Key $ by Tumor'!$A14)</f>
        <v>3.1610061322645273</v>
      </c>
      <c r="H14" s="458">
        <f t="shared" ca="1" si="0"/>
        <v>15.576824783345712</v>
      </c>
      <c r="J14" s="948"/>
      <c r="K14" s="946"/>
      <c r="L14" s="947"/>
      <c r="N14" s="948"/>
      <c r="O14" s="946"/>
      <c r="P14" s="947"/>
    </row>
    <row r="15" spans="1:16" x14ac:dyDescent="0.35">
      <c r="A15" s="456" t="s">
        <v>1145</v>
      </c>
      <c r="B15" s="462">
        <f ca="1">SUMIFS('3.2 Model Logic'!$K$10:$K$59,'3.2 Model Logic'!$D$10:$D$59,'4.1 Output - Key $ by Tumor'!$A15)</f>
        <v>19.771470271604827</v>
      </c>
      <c r="C15" s="462">
        <f ca="1">SUMIFS('3.2 Model Logic'!$O$10:$O$59,'3.2 Model Logic'!$D$10:$D$59,'4.1 Output - Key $ by Tumor'!$A15)</f>
        <v>18.649023264501292</v>
      </c>
      <c r="D15" s="462">
        <f>SUMIFS('3.2 Model Logic'!$T$10:$T$59,'3.2 Model Logic'!$D$10:$D$59,'4.1 Output - Key $ by Tumor'!$A15)</f>
        <v>7.4545617904109589</v>
      </c>
      <c r="E15" s="462">
        <f ca="1">SUMIFS('3.2 Model Logic'!$X$10:$X$59,'3.2 Model Logic'!$D$10:$D$59,'4.1 Output - Key $ by Tumor'!$A15)</f>
        <v>10.920060415384615</v>
      </c>
      <c r="F15" s="462">
        <f ca="1">SUMIFS('3.2 Model Logic'!$AB$10:$AB$59,'3.2 Model Logic'!$D$10:$D$59,'4.1 Output - Key $ by Tumor'!$A15)</f>
        <v>3.7218183438202255</v>
      </c>
      <c r="G15" s="462">
        <f>SUMIFS('3.2 Model Logic'!$AG$10:$AG$59,'3.2 Model Logic'!$D$10:$D$59,'4.1 Output - Key $ by Tumor'!$A15)</f>
        <v>3.1610061322645264</v>
      </c>
      <c r="H15" s="458">
        <f t="shared" ca="1" si="0"/>
        <v>63.677940217986446</v>
      </c>
      <c r="J15" s="948"/>
      <c r="K15" s="946"/>
      <c r="L15" s="947"/>
      <c r="N15" s="948"/>
      <c r="O15" s="946"/>
      <c r="P15" s="947"/>
    </row>
    <row r="16" spans="1:16" x14ac:dyDescent="0.35">
      <c r="A16" s="456" t="s">
        <v>1146</v>
      </c>
      <c r="B16" s="462">
        <f ca="1">SUMIFS('3.2 Model Logic'!$K$10:$K$59,'3.2 Model Logic'!$D$10:$D$59,'4.1 Output - Key $ by Tumor'!$A16)</f>
        <v>3.9521161275812373</v>
      </c>
      <c r="C16" s="462">
        <f ca="1">SUMIFS('3.2 Model Logic'!$O$10:$O$59,'3.2 Model Logic'!$D$10:$D$59,'4.1 Output - Key $ by Tumor'!$A16)</f>
        <v>7.725394193109592</v>
      </c>
      <c r="D16" s="462">
        <f>SUMIFS('3.2 Model Logic'!$T$10:$T$59,'3.2 Model Logic'!$D$10:$D$59,'4.1 Output - Key $ by Tumor'!$A16)</f>
        <v>3.2411138219178084</v>
      </c>
      <c r="E16" s="462">
        <f ca="1">SUMIFS('3.2 Model Logic'!$X$10:$X$59,'3.2 Model Logic'!$D$10:$D$59,'4.1 Output - Key $ by Tumor'!$A16)</f>
        <v>4.0950226557692311</v>
      </c>
      <c r="F16" s="462">
        <f ca="1">SUMIFS('3.2 Model Logic'!$AB$10:$AB$59,'3.2 Model Logic'!$D$10:$D$59,'4.1 Output - Key $ by Tumor'!$A16)</f>
        <v>0.79753250224719141</v>
      </c>
      <c r="G16" s="462">
        <f>SUMIFS('3.2 Model Logic'!$AG$10:$AG$59,'3.2 Model Logic'!$D$10:$D$59,'4.1 Output - Key $ by Tumor'!$A16)</f>
        <v>1.5805030661322634</v>
      </c>
      <c r="H16" s="458">
        <f t="shared" ca="1" si="0"/>
        <v>21.391682366757323</v>
      </c>
      <c r="J16" s="948"/>
      <c r="K16" s="946"/>
      <c r="L16" s="947"/>
      <c r="N16" s="948"/>
      <c r="O16" s="946"/>
      <c r="P16" s="947"/>
    </row>
    <row r="17" spans="1:17" x14ac:dyDescent="0.35">
      <c r="A17" s="456" t="s">
        <v>1147</v>
      </c>
      <c r="B17" s="462">
        <f ca="1">SUMIFS('3.2 Model Logic'!$K$10:$K$59,'3.2 Model Logic'!$D$10:$D$59,'4.1 Output - Key $ by Tumor'!$A17)</f>
        <v>0.55371243991283281</v>
      </c>
      <c r="C17" s="462">
        <f ca="1">SUMIFS('3.2 Model Logic'!$O$10:$O$59,'3.2 Model Logic'!$D$10:$D$59,'4.1 Output - Key $ by Tumor'!$A17)</f>
        <v>1.8492134142526588</v>
      </c>
      <c r="D17" s="462">
        <f>SUMIFS('3.2 Model Logic'!$T$10:$T$59,'3.2 Model Logic'!$D$10:$D$59,'4.1 Output - Key $ by Tumor'!$A17)</f>
        <v>0.97233414657534256</v>
      </c>
      <c r="E17" s="462">
        <f ca="1">SUMIFS('3.2 Model Logic'!$X$10:$X$59,'3.2 Model Logic'!$D$10:$D$59,'4.1 Output - Key $ by Tumor'!$A17)</f>
        <v>2.7300151038461533</v>
      </c>
      <c r="F17" s="462">
        <f ca="1">SUMIFS('3.2 Model Logic'!$AB$10:$AB$59,'3.2 Model Logic'!$D$10:$D$59,'4.1 Output - Key $ by Tumor'!$A17)</f>
        <v>2.3925975067415735</v>
      </c>
      <c r="G17" s="462">
        <f>SUMIFS('3.2 Model Logic'!$AG$10:$AG$59,'3.2 Model Logic'!$D$10:$D$59,'4.1 Output - Key $ by Tumor'!$A17)</f>
        <v>1.5805030661322634</v>
      </c>
      <c r="H17" s="458">
        <f t="shared" ca="1" si="0"/>
        <v>10.078375677460823</v>
      </c>
      <c r="J17" s="948"/>
      <c r="K17" s="946"/>
      <c r="L17" s="947"/>
      <c r="N17" s="948"/>
      <c r="O17" s="946"/>
      <c r="P17" s="947"/>
    </row>
    <row r="18" spans="1:17" x14ac:dyDescent="0.35">
      <c r="A18" s="456" t="s">
        <v>1148</v>
      </c>
      <c r="B18" s="462">
        <f ca="1">SUMIFS('3.2 Model Logic'!$K$10:$K$59,'3.2 Model Logic'!$D$10:$D$59,'4.1 Output - Key $ by Tumor'!$A18)</f>
        <v>1.3471187985316622</v>
      </c>
      <c r="C18" s="462">
        <f ca="1">SUMIFS('3.2 Model Logic'!$O$10:$O$59,'3.2 Model Logic'!$D$10:$D$59,'4.1 Output - Key $ by Tumor'!$A18)</f>
        <v>2.6533201878260853</v>
      </c>
      <c r="D18" s="462">
        <f>SUMIFS('3.2 Model Logic'!$T$10:$T$59,'3.2 Model Logic'!$D$10:$D$59,'4.1 Output - Key $ by Tumor'!$A18)</f>
        <v>0.97233414657534256</v>
      </c>
      <c r="E18" s="462">
        <f ca="1">SUMIFS('3.2 Model Logic'!$X$10:$X$59,'3.2 Model Logic'!$D$10:$D$59,'4.1 Output - Key $ by Tumor'!$A18)</f>
        <v>0</v>
      </c>
      <c r="F18" s="462">
        <f ca="1">SUMIFS('3.2 Model Logic'!$AB$10:$AB$59,'3.2 Model Logic'!$D$10:$D$59,'4.1 Output - Key $ by Tumor'!$A18)</f>
        <v>2.3925975067415735</v>
      </c>
      <c r="G18" s="462">
        <f>SUMIFS('3.2 Model Logic'!$AG$10:$AG$59,'3.2 Model Logic'!$D$10:$D$59,'4.1 Output - Key $ by Tumor'!$A18)</f>
        <v>1.5805030661322634</v>
      </c>
      <c r="H18" s="458">
        <f t="shared" ca="1" si="0"/>
        <v>8.9458737058069282</v>
      </c>
      <c r="J18" s="948"/>
      <c r="K18" s="946"/>
      <c r="L18" s="947"/>
      <c r="N18" s="948"/>
      <c r="O18" s="946"/>
      <c r="P18" s="947"/>
    </row>
    <row r="19" spans="1:17" x14ac:dyDescent="0.35">
      <c r="A19" s="456" t="s">
        <v>1150</v>
      </c>
      <c r="B19" s="462">
        <f ca="1">SUMIFS('3.2 Model Logic'!$K$10:$K$59,'3.2 Model Logic'!$D$10:$D$59,'4.1 Output - Key $ by Tumor'!$A19)</f>
        <v>0.42777737514531367</v>
      </c>
      <c r="C19" s="462">
        <f ca="1">SUMIFS('3.2 Model Logic'!$O$10:$O$59,'3.2 Model Logic'!$D$10:$D$59,'4.1 Output - Key $ by Tumor'!$A19)</f>
        <v>3.068435014456516</v>
      </c>
      <c r="D19" s="462">
        <f>SUMIFS('3.2 Model Logic'!$T$10:$T$59,'3.2 Model Logic'!$D$10:$D$59,'4.1 Output - Key $ by Tumor'!$A19)</f>
        <v>1.6205569109589042</v>
      </c>
      <c r="E19" s="462">
        <f ca="1">SUMIFS('3.2 Model Logic'!$X$10:$X$59,'3.2 Model Logic'!$D$10:$D$59,'4.1 Output - Key $ by Tumor'!$A19)</f>
        <v>4.0950226557692311</v>
      </c>
      <c r="F19" s="462">
        <f ca="1">SUMIFS('3.2 Model Logic'!$AB$10:$AB$59,'3.2 Model Logic'!$D$10:$D$59,'4.1 Output - Key $ by Tumor'!$A19)</f>
        <v>0.53168833483146083</v>
      </c>
      <c r="G19" s="462">
        <f>SUMIFS('3.2 Model Logic'!$AG$10:$AG$59,'3.2 Model Logic'!$D$10:$D$59,'4.1 Output - Key $ by Tumor'!$A19)</f>
        <v>0</v>
      </c>
      <c r="H19" s="458">
        <f t="shared" ca="1" si="0"/>
        <v>9.7434802911614256</v>
      </c>
      <c r="J19" s="948"/>
      <c r="K19" s="946"/>
      <c r="L19" s="947"/>
      <c r="N19" s="948"/>
      <c r="O19" s="946"/>
      <c r="P19" s="947"/>
    </row>
    <row r="20" spans="1:17" outlineLevel="1" x14ac:dyDescent="0.35">
      <c r="A20" s="456" t="s">
        <v>1152</v>
      </c>
      <c r="B20" s="462">
        <f ca="1">SUMIFS('3.2 Model Logic'!$K$10:$K$59,'3.2 Model Logic'!$D$10:$D$59,'4.1 Output - Key $ by Tumor'!$A20)</f>
        <v>2.1923768805103023</v>
      </c>
      <c r="C20" s="462">
        <f ca="1">SUMIFS('3.2 Model Logic'!$O$10:$O$59,'3.2 Model Logic'!$D$10:$D$59,'4.1 Output - Key $ by Tumor'!$A20)</f>
        <v>3.8471167088545459</v>
      </c>
      <c r="D20" s="462">
        <f>SUMIFS('3.2 Model Logic'!$T$10:$T$59,'3.2 Model Logic'!$D$10:$D$59,'4.1 Output - Key $ by Tumor'!$A20)</f>
        <v>1.6205569109589042</v>
      </c>
      <c r="E20" s="462">
        <f ca="1">SUMIFS('3.2 Model Logic'!$X$10:$X$59,'3.2 Model Logic'!$D$10:$D$59,'4.1 Output - Key $ by Tumor'!$A20)</f>
        <v>0</v>
      </c>
      <c r="F20" s="462">
        <f ca="1">SUMIFS('3.2 Model Logic'!$AB$10:$AB$59,'3.2 Model Logic'!$D$10:$D$59,'4.1 Output - Key $ by Tumor'!$A20)</f>
        <v>0.53168833483146083</v>
      </c>
      <c r="G20" s="462">
        <f>SUMIFS('3.2 Model Logic'!$AG$10:$AG$59,'3.2 Model Logic'!$D$10:$D$59,'4.1 Output - Key $ by Tumor'!$A20)</f>
        <v>3.1610061322645273</v>
      </c>
      <c r="H20" s="458">
        <f t="shared" ca="1" si="0"/>
        <v>11.35274496741974</v>
      </c>
      <c r="J20" s="948"/>
      <c r="K20" s="946"/>
      <c r="L20" s="947"/>
      <c r="N20" s="948"/>
      <c r="O20" s="946"/>
      <c r="P20" s="947"/>
    </row>
    <row r="21" spans="1:17" hidden="1" outlineLevel="1" x14ac:dyDescent="0.35">
      <c r="A21" s="456"/>
      <c r="B21" s="462">
        <f>SUMIFS('3.2 Model Logic'!$K$10:$K$59,'3.2 Model Logic'!$D$10:$D$59,'4.1 Output - Key $ by Tumor'!$A21)</f>
        <v>0</v>
      </c>
      <c r="C21" s="462">
        <f>SUMIFS('3.2 Model Logic'!$O$10:$O$59,'3.2 Model Logic'!$D$10:$D$59,'4.1 Output - Key $ by Tumor'!$A21)</f>
        <v>0</v>
      </c>
      <c r="D21" s="462">
        <f>SUMIFS('3.2 Model Logic'!$T$10:$T$59,'3.2 Model Logic'!$D$10:$D$59,'4.1 Output - Key $ by Tumor'!$A21)</f>
        <v>0</v>
      </c>
      <c r="E21" s="462">
        <f>SUMIFS('3.2 Model Logic'!$X$10:$X$59,'3.2 Model Logic'!$D$10:$D$59,'4.1 Output - Key $ by Tumor'!$A21)</f>
        <v>0</v>
      </c>
      <c r="F21" s="462">
        <f>SUMIFS('3.2 Model Logic'!$AB$10:$AB$59,'3.2 Model Logic'!$D$10:$D$59,'4.1 Output - Key $ by Tumor'!$A21)</f>
        <v>0</v>
      </c>
      <c r="G21" s="462">
        <f>SUMIFS('3.2 Model Logic'!$AG$10:$AG$59,'3.2 Model Logic'!$D$10:$D$59,'4.1 Output - Key $ by Tumor'!$A21)</f>
        <v>0</v>
      </c>
      <c r="H21" s="458">
        <f t="shared" si="0"/>
        <v>0</v>
      </c>
      <c r="J21" s="948"/>
      <c r="K21" s="946"/>
      <c r="L21" s="947"/>
      <c r="N21" s="948"/>
      <c r="O21" s="946"/>
      <c r="P21" s="947"/>
    </row>
    <row r="22" spans="1:17" hidden="1" outlineLevel="1" x14ac:dyDescent="0.35">
      <c r="A22" s="456"/>
      <c r="B22" s="462">
        <f>SUMIFS('3.2 Model Logic'!$K$10:$K$59,'3.2 Model Logic'!$D$10:$D$59,'4.1 Output - Key $ by Tumor'!$A22)</f>
        <v>0</v>
      </c>
      <c r="C22" s="462">
        <f>SUMIFS('3.2 Model Logic'!$O$10:$O$59,'3.2 Model Logic'!$D$10:$D$59,'4.1 Output - Key $ by Tumor'!$A22)</f>
        <v>0</v>
      </c>
      <c r="D22" s="462">
        <f>SUMIFS('3.2 Model Logic'!$T$10:$T$59,'3.2 Model Logic'!$D$10:$D$59,'4.1 Output - Key $ by Tumor'!$A22)</f>
        <v>0</v>
      </c>
      <c r="E22" s="462">
        <f>SUMIFS('3.2 Model Logic'!$X$10:$X$59,'3.2 Model Logic'!$D$10:$D$59,'4.1 Output - Key $ by Tumor'!$A22)</f>
        <v>0</v>
      </c>
      <c r="F22" s="462">
        <f>SUMIFS('3.2 Model Logic'!$AB$10:$AB$59,'3.2 Model Logic'!$D$10:$D$59,'4.1 Output - Key $ by Tumor'!$A22)</f>
        <v>0</v>
      </c>
      <c r="G22" s="462">
        <f>SUMIFS('3.2 Model Logic'!$AG$10:$AG$59,'3.2 Model Logic'!$D$10:$D$59,'4.1 Output - Key $ by Tumor'!$A22)</f>
        <v>0</v>
      </c>
      <c r="H22" s="458">
        <f t="shared" si="0"/>
        <v>0</v>
      </c>
      <c r="J22" s="948"/>
      <c r="K22" s="946"/>
      <c r="L22" s="947"/>
      <c r="N22" s="948"/>
      <c r="O22" s="946"/>
      <c r="P22" s="947"/>
    </row>
    <row r="23" spans="1:17" hidden="1" x14ac:dyDescent="0.35">
      <c r="A23" s="456"/>
      <c r="B23" s="462">
        <f>SUMIFS('3.2 Model Logic'!$K$10:$K$59,'3.2 Model Logic'!$D$10:$D$59,'4.1 Output - Key $ by Tumor'!$A23)</f>
        <v>0</v>
      </c>
      <c r="C23" s="462">
        <f>SUMIFS('3.2 Model Logic'!$O$10:$O$59,'3.2 Model Logic'!$D$10:$D$59,'4.1 Output - Key $ by Tumor'!$A23)</f>
        <v>0</v>
      </c>
      <c r="D23" s="462">
        <f>SUMIFS('3.2 Model Logic'!$T$10:$T$59,'3.2 Model Logic'!$D$10:$D$59,'4.1 Output - Key $ by Tumor'!$A23)</f>
        <v>0</v>
      </c>
      <c r="E23" s="462">
        <f>SUMIFS('3.2 Model Logic'!$X$10:$X$59,'3.2 Model Logic'!$D$10:$D$59,'4.1 Output - Key $ by Tumor'!$A23)</f>
        <v>0</v>
      </c>
      <c r="F23" s="462">
        <f>SUMIFS('3.2 Model Logic'!$AB$10:$AB$59,'3.2 Model Logic'!$D$10:$D$59,'4.1 Output - Key $ by Tumor'!$A23)</f>
        <v>0</v>
      </c>
      <c r="G23" s="462">
        <f>SUMIFS('3.2 Model Logic'!$AG$10:$AG$59,'3.2 Model Logic'!$D$10:$D$59,'4.1 Output - Key $ by Tumor'!$A23)</f>
        <v>0</v>
      </c>
      <c r="H23" s="458">
        <f t="shared" si="0"/>
        <v>0</v>
      </c>
      <c r="J23" s="948"/>
      <c r="K23" s="946"/>
      <c r="L23" s="947"/>
      <c r="N23" s="948"/>
      <c r="O23" s="946"/>
      <c r="P23" s="947"/>
    </row>
    <row r="24" spans="1:17" x14ac:dyDescent="0.35">
      <c r="A24" s="456" t="s">
        <v>589</v>
      </c>
      <c r="B24" s="462">
        <f ca="1">SUM(B8:B23)</f>
        <v>59.150327249999997</v>
      </c>
      <c r="C24" s="462">
        <f t="shared" ref="C24:G24" ca="1" si="1">SUM(C8:C23)</f>
        <v>70.980392699999967</v>
      </c>
      <c r="D24" s="462">
        <f t="shared" si="1"/>
        <v>23.660130899999999</v>
      </c>
      <c r="E24" s="462">
        <f t="shared" ca="1" si="1"/>
        <v>35.490196349999998</v>
      </c>
      <c r="F24" s="462">
        <f t="shared" ca="1" si="1"/>
        <v>23.660130900000002</v>
      </c>
      <c r="G24" s="462">
        <f t="shared" si="1"/>
        <v>23.660130899999984</v>
      </c>
      <c r="H24" s="458">
        <f t="shared" ca="1" si="0"/>
        <v>236.60130899999996</v>
      </c>
      <c r="J24" s="949">
        <f>SUM(J8:J23)-J19</f>
        <v>0</v>
      </c>
      <c r="K24" s="950" t="str">
        <f ca="1">IFERROR((H24-J24)/J24,"-")</f>
        <v>-</v>
      </c>
      <c r="L24" s="951">
        <f ca="1">(H24-J24)</f>
        <v>236.60130899999996</v>
      </c>
      <c r="N24" s="949">
        <f>SUM(N8:N23)-N19</f>
        <v>0</v>
      </c>
      <c r="O24" s="950" t="str">
        <f ca="1">IFERROR((H24-N24)/N24,"-")</f>
        <v>-</v>
      </c>
      <c r="P24" s="951">
        <f t="shared" ref="P24" ca="1" si="2">(H24-N24)</f>
        <v>236.60130899999996</v>
      </c>
      <c r="Q24" s="466"/>
    </row>
    <row r="25" spans="1:17" x14ac:dyDescent="0.35">
      <c r="J25" s="450"/>
      <c r="K25" s="450"/>
      <c r="L25" s="450"/>
      <c r="N25" s="450"/>
      <c r="O25" s="450"/>
      <c r="P25" s="450"/>
      <c r="Q25"/>
    </row>
    <row r="26" spans="1:17" x14ac:dyDescent="0.35">
      <c r="J26" s="450"/>
      <c r="K26" s="450"/>
      <c r="L26" s="450"/>
      <c r="N26" s="450"/>
      <c r="O26" s="450"/>
      <c r="P26" s="450"/>
      <c r="Q26"/>
    </row>
    <row r="27" spans="1:17" x14ac:dyDescent="0.35">
      <c r="J27" s="450"/>
      <c r="K27" s="450"/>
      <c r="L27" s="450"/>
      <c r="N27" s="450"/>
      <c r="O27" s="450"/>
      <c r="P27" s="450"/>
    </row>
    <row r="28" spans="1:17" x14ac:dyDescent="0.35">
      <c r="J28" s="450"/>
      <c r="K28" s="450"/>
      <c r="L28" s="450"/>
    </row>
    <row r="29" spans="1:17" x14ac:dyDescent="0.35">
      <c r="J29" s="450"/>
      <c r="K29" s="450"/>
      <c r="L29" s="450"/>
    </row>
    <row r="30" spans="1:17" x14ac:dyDescent="0.35">
      <c r="J30" s="450"/>
      <c r="K30" s="450"/>
      <c r="L30" s="450"/>
    </row>
    <row r="31" spans="1:17" x14ac:dyDescent="0.35">
      <c r="J31" s="450"/>
      <c r="K31" s="450"/>
      <c r="L31" s="450"/>
    </row>
    <row r="32" spans="1:17" x14ac:dyDescent="0.35">
      <c r="J32" s="450"/>
      <c r="K32" s="450"/>
      <c r="L32" s="450"/>
    </row>
  </sheetData>
  <mergeCells count="3">
    <mergeCell ref="B6:H6"/>
    <mergeCell ref="J6:K6"/>
    <mergeCell ref="N6:O6"/>
  </mergeCells>
  <conditionalFormatting sqref="O8:O23">
    <cfRule type="cellIs" dxfId="105" priority="63" operator="lessThan">
      <formula>$O$24</formula>
    </cfRule>
    <cfRule type="cellIs" dxfId="104" priority="64" operator="greaterThan">
      <formula>$O$24</formula>
    </cfRule>
  </conditionalFormatting>
  <conditionalFormatting sqref="P8:P23">
    <cfRule type="cellIs" dxfId="103" priority="55" operator="lessThan">
      <formula>$O$24</formula>
    </cfRule>
    <cfRule type="cellIs" dxfId="102" priority="56" operator="greaterThan">
      <formula>$O$24</formula>
    </cfRule>
  </conditionalFormatting>
  <conditionalFormatting sqref="L8:L23">
    <cfRule type="cellIs" dxfId="101" priority="39" operator="lessThan">
      <formula>$O$24</formula>
    </cfRule>
    <cfRule type="cellIs" dxfId="100" priority="40" operator="greaterThan">
      <formula>$O$24</formula>
    </cfRule>
  </conditionalFormatting>
  <conditionalFormatting sqref="K8:K23">
    <cfRule type="cellIs" dxfId="99" priority="97" operator="lessThan">
      <formula>#REF!</formula>
    </cfRule>
    <cfRule type="cellIs" dxfId="98" priority="98" operator="greaterThan">
      <formula>#REF!</formula>
    </cfRule>
  </conditionalFormatting>
  <conditionalFormatting sqref="O20:P22 L20:L22">
    <cfRule type="cellIs" dxfId="97" priority="99" operator="lessThan">
      <formula>#REF!</formula>
    </cfRule>
    <cfRule type="cellIs" dxfId="96" priority="100" operator="greaterThan">
      <formula>#REF!</formula>
    </cfRule>
  </conditionalFormatting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4985-3980-436C-8E07-BD5AF4F2A51D}">
  <sheetPr>
    <tabColor theme="4" tint="0.39997558519241921"/>
    <pageSetUpPr autoPageBreaks="0"/>
  </sheetPr>
  <dimension ref="A1:X83"/>
  <sheetViews>
    <sheetView topLeftCell="A7" zoomScaleNormal="100" workbookViewId="0">
      <pane xSplit="1" topLeftCell="M1" activePane="topRight" state="frozen"/>
      <selection activeCell="J9" sqref="J9:K9"/>
      <selection pane="topRight" activeCell="P10" sqref="P10"/>
    </sheetView>
  </sheetViews>
  <sheetFormatPr defaultRowHeight="14.5" x14ac:dyDescent="0.35"/>
  <cols>
    <col min="1" max="1" width="39.6328125" customWidth="1"/>
    <col min="2" max="2" width="20.453125" style="468" customWidth="1"/>
    <col min="3" max="3" width="17.7265625" style="176" customWidth="1"/>
    <col min="4" max="4" width="17.08984375" customWidth="1"/>
    <col min="5" max="5" width="13.81640625" customWidth="1"/>
    <col min="6" max="6" width="18.81640625" customWidth="1"/>
    <col min="7" max="7" width="18.36328125" customWidth="1"/>
    <col min="8" max="8" width="13.08984375" customWidth="1"/>
    <col min="9" max="9" width="5.1796875" customWidth="1"/>
    <col min="10" max="10" width="16" customWidth="1"/>
    <col min="11" max="11" width="11.54296875" customWidth="1"/>
    <col min="12" max="12" width="15.453125" customWidth="1"/>
    <col min="13" max="13" width="4.26953125" customWidth="1"/>
    <col min="14" max="14" width="11.7265625" bestFit="1" customWidth="1"/>
    <col min="15" max="15" width="16.36328125" customWidth="1"/>
    <col min="16" max="16" width="13.26953125" customWidth="1"/>
    <col min="17" max="17" width="11.26953125" bestFit="1" customWidth="1"/>
    <col min="19" max="19" width="3.7265625" style="319" customWidth="1"/>
    <col min="20" max="20" width="11.26953125" style="319" bestFit="1" customWidth="1"/>
    <col min="21" max="21" width="13.453125" style="319" customWidth="1"/>
    <col min="22" max="22" width="13.54296875" style="319" customWidth="1"/>
    <col min="23" max="23" width="9.26953125" customWidth="1"/>
    <col min="24" max="24" width="13" bestFit="1" customWidth="1"/>
  </cols>
  <sheetData>
    <row r="1" spans="1:24" x14ac:dyDescent="0.35">
      <c r="A1" s="174" t="s">
        <v>491</v>
      </c>
    </row>
    <row r="2" spans="1:24" x14ac:dyDescent="0.35">
      <c r="A2" s="279" t="s">
        <v>789</v>
      </c>
    </row>
    <row r="3" spans="1:24" x14ac:dyDescent="0.35">
      <c r="A3" s="469"/>
    </row>
    <row r="4" spans="1:24" x14ac:dyDescent="0.35">
      <c r="B4"/>
      <c r="C4"/>
      <c r="S4"/>
      <c r="T4"/>
      <c r="U4"/>
      <c r="V4"/>
    </row>
    <row r="5" spans="1:24" x14ac:dyDescent="0.35">
      <c r="A5" s="251"/>
      <c r="D5" s="280"/>
      <c r="F5" s="280"/>
    </row>
    <row r="6" spans="1:24" x14ac:dyDescent="0.35">
      <c r="B6" s="1070" t="s">
        <v>1128</v>
      </c>
      <c r="C6" s="1070"/>
      <c r="D6" s="1070"/>
      <c r="F6" s="1070" t="s">
        <v>1123</v>
      </c>
      <c r="G6" s="1070"/>
      <c r="H6" s="1070"/>
      <c r="J6" s="1070" t="s">
        <v>1115</v>
      </c>
      <c r="K6" s="1070"/>
      <c r="L6" s="1070"/>
      <c r="N6" s="1067" t="s">
        <v>790</v>
      </c>
      <c r="O6" s="1067"/>
      <c r="P6" s="1067"/>
      <c r="Q6" s="1067"/>
      <c r="R6" s="1067"/>
      <c r="T6" s="1067" t="s">
        <v>791</v>
      </c>
      <c r="U6" s="1067"/>
      <c r="V6" s="1067"/>
      <c r="W6" s="1067"/>
      <c r="X6" s="1067"/>
    </row>
    <row r="7" spans="1:24" x14ac:dyDescent="0.35">
      <c r="A7" t="s">
        <v>792</v>
      </c>
      <c r="B7" s="470"/>
      <c r="C7" s="471"/>
      <c r="D7" s="472">
        <f>+F53</f>
        <v>97527608.100567535</v>
      </c>
      <c r="F7" s="470"/>
      <c r="G7" s="470"/>
      <c r="H7" s="472">
        <f>+G53</f>
        <v>47248598.659999996</v>
      </c>
      <c r="J7" s="1071" t="s">
        <v>1237</v>
      </c>
      <c r="K7" s="1072"/>
      <c r="L7" s="472">
        <f>+C53+D53+E53</f>
        <v>76812276</v>
      </c>
      <c r="N7" s="473"/>
      <c r="O7" s="473"/>
      <c r="P7" s="473"/>
      <c r="Q7" s="255">
        <v>17</v>
      </c>
      <c r="R7" s="255">
        <v>18</v>
      </c>
      <c r="T7" s="473"/>
      <c r="U7" s="473"/>
      <c r="V7" s="473"/>
      <c r="W7" s="255">
        <v>23</v>
      </c>
      <c r="X7" s="255">
        <v>24</v>
      </c>
    </row>
    <row r="8" spans="1:24" x14ac:dyDescent="0.35">
      <c r="B8" s="1068" t="s">
        <v>1287</v>
      </c>
      <c r="C8" s="1068"/>
      <c r="D8" s="474" t="s">
        <v>1116</v>
      </c>
      <c r="F8" s="1069" t="s">
        <v>1124</v>
      </c>
      <c r="G8" s="1069"/>
      <c r="H8" s="474" t="s">
        <v>1116</v>
      </c>
      <c r="J8" s="1068" t="s">
        <v>1288</v>
      </c>
      <c r="K8" s="1068"/>
      <c r="L8" s="474" t="s">
        <v>1116</v>
      </c>
      <c r="N8" s="473"/>
      <c r="O8" s="473"/>
      <c r="P8" s="473"/>
      <c r="Q8" s="473"/>
      <c r="R8" s="473"/>
      <c r="T8" s="475" t="s">
        <v>793</v>
      </c>
      <c r="U8" s="475" t="s">
        <v>863</v>
      </c>
      <c r="V8" s="473"/>
      <c r="W8" s="475" t="s">
        <v>793</v>
      </c>
      <c r="X8" s="475" t="s">
        <v>863</v>
      </c>
    </row>
    <row r="9" spans="1:24" x14ac:dyDescent="0.35">
      <c r="A9" s="476" t="s">
        <v>462</v>
      </c>
      <c r="B9" s="477" t="s">
        <v>794</v>
      </c>
      <c r="C9" s="478" t="s">
        <v>795</v>
      </c>
      <c r="D9" s="474" t="s">
        <v>796</v>
      </c>
      <c r="F9" s="479" t="s">
        <v>794</v>
      </c>
      <c r="G9" s="480" t="s">
        <v>795</v>
      </c>
      <c r="H9" s="474" t="s">
        <v>796</v>
      </c>
      <c r="J9" s="479" t="s">
        <v>794</v>
      </c>
      <c r="K9" s="480" t="s">
        <v>795</v>
      </c>
      <c r="L9" s="474" t="s">
        <v>796</v>
      </c>
      <c r="N9" s="481" t="s">
        <v>797</v>
      </c>
      <c r="O9" s="481" t="s">
        <v>798</v>
      </c>
      <c r="P9" s="481" t="s">
        <v>799</v>
      </c>
      <c r="Q9" s="481" t="s">
        <v>800</v>
      </c>
      <c r="R9" s="481" t="s">
        <v>801</v>
      </c>
      <c r="T9" s="482" t="s">
        <v>1244</v>
      </c>
      <c r="U9" s="482" t="s">
        <v>1245</v>
      </c>
      <c r="V9" s="483" t="s">
        <v>799</v>
      </c>
      <c r="W9" s="482" t="s">
        <v>1244</v>
      </c>
      <c r="X9" s="482" t="s">
        <v>1245</v>
      </c>
    </row>
    <row r="10" spans="1:24" x14ac:dyDescent="0.35">
      <c r="A10" s="476" t="s">
        <v>1152</v>
      </c>
      <c r="B10" s="487">
        <f>VLOOKUP(A10,histsplit,6,FALSE)</f>
        <v>7785199.0052000005</v>
      </c>
      <c r="C10" s="485">
        <f>+B10/B$23</f>
        <v>8.0089253638833194E-2</v>
      </c>
      <c r="D10" s="486">
        <f t="shared" ref="D10" si="0">D$7*C10</f>
        <v>7810913.341955076</v>
      </c>
      <c r="F10" s="487">
        <f>VLOOKUP(A10,histsplit,7,FALSE)</f>
        <v>3328120</v>
      </c>
      <c r="G10" s="485">
        <f>+F10/F$23</f>
        <v>8.0550798855744163E-2</v>
      </c>
      <c r="H10" s="486">
        <f t="shared" ref="H10:H22" si="1">H$7*G10</f>
        <v>3805912.3668774427</v>
      </c>
      <c r="I10" s="175"/>
      <c r="J10" s="484">
        <f>VLOOKUP(A10,histsplit,3,FALSE)+VLOOKUP(A10,histsplit,4,FALSE)+VLOOKUP(A10,histsplit,5,FALSE)</f>
        <v>7163000</v>
      </c>
      <c r="K10" s="485">
        <f>+J10/J$23</f>
        <v>9.5998161895867601E-2</v>
      </c>
      <c r="L10" s="486">
        <f t="shared" ref="L10:L22" si="2">L$7*K10</f>
        <v>7373837.307038065</v>
      </c>
      <c r="N10" s="489">
        <f t="shared" ref="N10:N23" si="3">+D10</f>
        <v>7810913.341955076</v>
      </c>
      <c r="O10" s="489">
        <f>+H10+L10</f>
        <v>11179749.673915507</v>
      </c>
      <c r="P10" s="489">
        <f t="shared" ref="P10:P23" si="4">+N10+O10</f>
        <v>18990663.015870582</v>
      </c>
      <c r="Q10" s="490">
        <f t="shared" ref="Q10" si="5">IFERROR(N10/P10,0)</f>
        <v>0.41130282473168317</v>
      </c>
      <c r="R10" s="490">
        <f t="shared" ref="R10" si="6">IFERROR(O10/P10,0)</f>
        <v>0.58869717526831689</v>
      </c>
      <c r="T10" s="491">
        <f t="shared" ref="T10" si="7">+H10</f>
        <v>3805912.3668774427</v>
      </c>
      <c r="U10" s="491">
        <f t="shared" ref="U10" si="8">+L10</f>
        <v>7373837.307038065</v>
      </c>
      <c r="V10" s="492">
        <f t="shared" ref="V10" si="9">SUM(T10:U10)</f>
        <v>11179749.673915507</v>
      </c>
      <c r="W10" s="493">
        <f t="shared" ref="W10" si="10">IFERROR(T10/V10,0)</f>
        <v>0.34042912210792731</v>
      </c>
      <c r="X10" s="494">
        <f t="shared" ref="X10" si="11">IFERROR(U10/V10,0)</f>
        <v>0.65957087789207269</v>
      </c>
    </row>
    <row r="11" spans="1:24" x14ac:dyDescent="0.35">
      <c r="A11" s="476" t="s">
        <v>1147</v>
      </c>
      <c r="B11" s="487">
        <f>VLOOKUP(A11,histsplit,6,FALSE)</f>
        <v>0</v>
      </c>
      <c r="C11" s="485">
        <f t="shared" ref="C11:C22" si="12">+B11/B$23</f>
        <v>0</v>
      </c>
      <c r="D11" s="486">
        <f t="shared" ref="D11:D22" si="13">D$7*C11</f>
        <v>0</v>
      </c>
      <c r="F11" s="487">
        <f>VLOOKUP(A11,histsplit,7,FALSE)</f>
        <v>0</v>
      </c>
      <c r="G11" s="485">
        <f t="shared" ref="G11:G22" si="14">+F11/F$23</f>
        <v>0</v>
      </c>
      <c r="H11" s="486">
        <f t="shared" si="1"/>
        <v>0</v>
      </c>
      <c r="I11" s="175"/>
      <c r="J11" s="484">
        <f>VLOOKUP(A11,histsplit,3,FALSE)+VLOOKUP(A11,histsplit,4,FALSE)+VLOOKUP(A11,histsplit,5,FALSE)</f>
        <v>1000000</v>
      </c>
      <c r="K11" s="485">
        <f t="shared" ref="K11:K22" si="15">+J11/J$23</f>
        <v>1.3401949168765546E-2</v>
      </c>
      <c r="L11" s="486">
        <f t="shared" si="2"/>
        <v>1029434.2184891897</v>
      </c>
      <c r="N11" s="489">
        <f t="shared" ref="N11:N22" si="16">+D11</f>
        <v>0</v>
      </c>
      <c r="O11" s="489">
        <f t="shared" ref="O11:O22" si="17">+H11+L11</f>
        <v>1029434.2184891897</v>
      </c>
      <c r="P11" s="489">
        <f t="shared" ref="P11:P22" si="18">+N11+O11</f>
        <v>1029434.2184891897</v>
      </c>
      <c r="Q11" s="490">
        <f t="shared" ref="Q11:Q23" si="19">IFERROR(N11/P11,0)</f>
        <v>0</v>
      </c>
      <c r="R11" s="490">
        <f t="shared" ref="R11:R23" si="20">IFERROR(O11/P11,0)</f>
        <v>1</v>
      </c>
      <c r="T11" s="491">
        <f t="shared" ref="T11:T23" si="21">+H11</f>
        <v>0</v>
      </c>
      <c r="U11" s="491">
        <f t="shared" ref="U11:U23" si="22">+L11</f>
        <v>1029434.2184891897</v>
      </c>
      <c r="V11" s="492">
        <f t="shared" ref="V11:V23" si="23">SUM(T11:U11)</f>
        <v>1029434.2184891897</v>
      </c>
      <c r="W11" s="493">
        <f t="shared" ref="W11:W23" si="24">IFERROR(T11/V11,0)</f>
        <v>0</v>
      </c>
      <c r="X11" s="494">
        <f t="shared" ref="X11:X23" si="25">IFERROR(U11/V11,0)</f>
        <v>1</v>
      </c>
    </row>
    <row r="12" spans="1:24" x14ac:dyDescent="0.35">
      <c r="A12" s="476" t="s">
        <v>1146</v>
      </c>
      <c r="B12" s="487">
        <f>VLOOKUP(A12,histsplit,6,FALSE)</f>
        <v>5459817.0288811689</v>
      </c>
      <c r="C12" s="485">
        <f t="shared" si="12"/>
        <v>5.6167179612957252E-2</v>
      </c>
      <c r="D12" s="486">
        <f t="shared" si="13"/>
        <v>5477850.6814066814</v>
      </c>
      <c r="F12" s="487">
        <f>VLOOKUP(A12,histsplit,7,FALSE)</f>
        <v>2505395</v>
      </c>
      <c r="G12" s="485">
        <f t="shared" si="14"/>
        <v>6.0638308924914709E-2</v>
      </c>
      <c r="H12" s="486">
        <f t="shared" si="1"/>
        <v>2865075.1218143911</v>
      </c>
      <c r="I12" s="175"/>
      <c r="J12" s="484">
        <f>VLOOKUP(A12,histsplit,3,FALSE)+VLOOKUP(A12,histsplit,4,FALSE)+VLOOKUP(A12,histsplit,5,FALSE)</f>
        <v>5325829.1243804581</v>
      </c>
      <c r="K12" s="485">
        <f t="shared" si="15"/>
        <v>7.1376491206478015E-2</v>
      </c>
      <c r="L12" s="486">
        <f t="shared" si="2"/>
        <v>5482590.7424635626</v>
      </c>
      <c r="N12" s="489">
        <f t="shared" si="16"/>
        <v>5477850.6814066814</v>
      </c>
      <c r="O12" s="489">
        <f t="shared" si="17"/>
        <v>8347665.8642779533</v>
      </c>
      <c r="P12" s="489">
        <f t="shared" si="18"/>
        <v>13825516.545684636</v>
      </c>
      <c r="Q12" s="490">
        <f t="shared" si="19"/>
        <v>0.39621309361612861</v>
      </c>
      <c r="R12" s="490">
        <f t="shared" si="20"/>
        <v>0.60378690638387134</v>
      </c>
      <c r="T12" s="491">
        <f t="shared" si="21"/>
        <v>2865075.1218143911</v>
      </c>
      <c r="U12" s="491">
        <f t="shared" si="22"/>
        <v>5482590.7424635626</v>
      </c>
      <c r="V12" s="492">
        <f t="shared" si="23"/>
        <v>8347665.8642779533</v>
      </c>
      <c r="W12" s="493">
        <f t="shared" si="24"/>
        <v>0.34321871148135746</v>
      </c>
      <c r="X12" s="494">
        <f t="shared" si="25"/>
        <v>0.65678128851864259</v>
      </c>
    </row>
    <row r="13" spans="1:24" x14ac:dyDescent="0.35">
      <c r="A13" s="476" t="s">
        <v>1148</v>
      </c>
      <c r="B13" s="487">
        <f>VLOOKUP(A13,histsplit,6,FALSE)</f>
        <v>2741521.9980800003</v>
      </c>
      <c r="C13" s="485">
        <f t="shared" si="12"/>
        <v>2.8203062055833634E-2</v>
      </c>
      <c r="D13" s="486">
        <f t="shared" si="13"/>
        <v>2750577.1834173291</v>
      </c>
      <c r="F13" s="487">
        <f>VLOOKUP(A13,histsplit,7,FALSE)</f>
        <v>2972324</v>
      </c>
      <c r="G13" s="485">
        <f t="shared" si="14"/>
        <v>7.1939435073885824E-2</v>
      </c>
      <c r="H13" s="486">
        <f t="shared" si="1"/>
        <v>3399037.4956331584</v>
      </c>
      <c r="I13" s="175"/>
      <c r="J13" s="484">
        <f>VLOOKUP(A13,histsplit,3,FALSE)+VLOOKUP(A13,histsplit,4,FALSE)+VLOOKUP(A13,histsplit,5,FALSE)</f>
        <v>3693170.8756195419</v>
      </c>
      <c r="K13" s="485">
        <f t="shared" si="15"/>
        <v>4.9495688346618445E-2</v>
      </c>
      <c r="L13" s="486">
        <f t="shared" si="2"/>
        <v>3801876.4740904397</v>
      </c>
      <c r="N13" s="489">
        <f t="shared" si="16"/>
        <v>2750577.1834173291</v>
      </c>
      <c r="O13" s="489">
        <f t="shared" si="17"/>
        <v>7200913.9697235981</v>
      </c>
      <c r="P13" s="489">
        <f t="shared" si="18"/>
        <v>9951491.1531409267</v>
      </c>
      <c r="Q13" s="490">
        <f t="shared" si="19"/>
        <v>0.27639849557110663</v>
      </c>
      <c r="R13" s="490">
        <f t="shared" si="20"/>
        <v>0.72360150442889348</v>
      </c>
      <c r="T13" s="491">
        <f t="shared" si="21"/>
        <v>3399037.4956331584</v>
      </c>
      <c r="U13" s="491">
        <f t="shared" si="22"/>
        <v>3801876.4740904397</v>
      </c>
      <c r="V13" s="492">
        <f t="shared" si="23"/>
        <v>7200913.9697235981</v>
      </c>
      <c r="W13" s="493">
        <f t="shared" si="24"/>
        <v>0.47202862163393239</v>
      </c>
      <c r="X13" s="494">
        <f t="shared" si="25"/>
        <v>0.52797137836606756</v>
      </c>
    </row>
    <row r="14" spans="1:24" x14ac:dyDescent="0.35">
      <c r="A14" s="476" t="s">
        <v>1143</v>
      </c>
      <c r="B14" s="487">
        <f>VLOOKUP(A14,histsplit,6,FALSE)</f>
        <v>8961442.4600000009</v>
      </c>
      <c r="C14" s="485">
        <f t="shared" si="12"/>
        <v>9.2189709944390991E-2</v>
      </c>
      <c r="D14" s="486">
        <f t="shared" si="13"/>
        <v>8991041.9023615588</v>
      </c>
      <c r="F14" s="487">
        <f>VLOOKUP(A14,histsplit,7,FALSE)</f>
        <v>5149974.93</v>
      </c>
      <c r="G14" s="485">
        <f t="shared" si="14"/>
        <v>0.1246453236958268</v>
      </c>
      <c r="H14" s="486">
        <f t="shared" si="1"/>
        <v>5889316.8741499083</v>
      </c>
      <c r="I14" s="175"/>
      <c r="J14" s="484">
        <f>VLOOKUP(A14,histsplit,3,FALSE)+VLOOKUP(A14,histsplit,4,FALSE)+VLOOKUP(A14,histsplit,5,FALSE)</f>
        <v>7248326</v>
      </c>
      <c r="K14" s="485">
        <f t="shared" si="15"/>
        <v>9.714169661064169E-2</v>
      </c>
      <c r="L14" s="486">
        <f t="shared" si="2"/>
        <v>7461674.8111648737</v>
      </c>
      <c r="N14" s="489">
        <f t="shared" si="16"/>
        <v>8991041.9023615588</v>
      </c>
      <c r="O14" s="489">
        <f t="shared" si="17"/>
        <v>13350991.685314782</v>
      </c>
      <c r="P14" s="489">
        <f t="shared" si="18"/>
        <v>22342033.587676339</v>
      </c>
      <c r="Q14" s="490">
        <f t="shared" si="19"/>
        <v>0.40242719477966121</v>
      </c>
      <c r="R14" s="490">
        <f t="shared" si="20"/>
        <v>0.59757280522033884</v>
      </c>
      <c r="T14" s="491">
        <f t="shared" si="21"/>
        <v>5889316.8741499083</v>
      </c>
      <c r="U14" s="491">
        <f t="shared" si="22"/>
        <v>7461674.8111648737</v>
      </c>
      <c r="V14" s="492">
        <f t="shared" si="23"/>
        <v>13350991.685314782</v>
      </c>
      <c r="W14" s="493">
        <f t="shared" si="24"/>
        <v>0.44111456384380582</v>
      </c>
      <c r="X14" s="494">
        <f t="shared" si="25"/>
        <v>0.55888543615619413</v>
      </c>
    </row>
    <row r="15" spans="1:24" x14ac:dyDescent="0.35">
      <c r="A15" s="476" t="s">
        <v>1134</v>
      </c>
      <c r="B15" s="487">
        <v>0</v>
      </c>
      <c r="C15" s="485">
        <f t="shared" si="12"/>
        <v>0</v>
      </c>
      <c r="D15" s="486">
        <f t="shared" si="13"/>
        <v>0</v>
      </c>
      <c r="F15" s="487">
        <v>0</v>
      </c>
      <c r="G15" s="485">
        <f t="shared" si="14"/>
        <v>0</v>
      </c>
      <c r="H15" s="486">
        <f t="shared" si="1"/>
        <v>0</v>
      </c>
      <c r="I15" s="175"/>
      <c r="J15" s="484">
        <v>0</v>
      </c>
      <c r="K15" s="485">
        <f t="shared" si="15"/>
        <v>0</v>
      </c>
      <c r="L15" s="486">
        <f t="shared" si="2"/>
        <v>0</v>
      </c>
      <c r="N15" s="489">
        <f t="shared" si="16"/>
        <v>0</v>
      </c>
      <c r="O15" s="489">
        <f t="shared" si="17"/>
        <v>0</v>
      </c>
      <c r="P15" s="489">
        <f t="shared" si="18"/>
        <v>0</v>
      </c>
      <c r="Q15" s="490">
        <f t="shared" si="19"/>
        <v>0</v>
      </c>
      <c r="R15" s="490">
        <f t="shared" si="20"/>
        <v>0</v>
      </c>
      <c r="T15" s="491">
        <f t="shared" si="21"/>
        <v>0</v>
      </c>
      <c r="U15" s="491">
        <f t="shared" si="22"/>
        <v>0</v>
      </c>
      <c r="V15" s="492">
        <f t="shared" si="23"/>
        <v>0</v>
      </c>
      <c r="W15" s="493">
        <f t="shared" si="24"/>
        <v>0</v>
      </c>
      <c r="X15" s="494">
        <f t="shared" si="25"/>
        <v>0</v>
      </c>
    </row>
    <row r="16" spans="1:24" x14ac:dyDescent="0.35">
      <c r="A16" s="476" t="s">
        <v>1138</v>
      </c>
      <c r="B16" s="487">
        <v>0</v>
      </c>
      <c r="C16" s="485">
        <f t="shared" si="12"/>
        <v>0</v>
      </c>
      <c r="D16" s="486">
        <f t="shared" si="13"/>
        <v>0</v>
      </c>
      <c r="F16" s="487">
        <v>0</v>
      </c>
      <c r="G16" s="485">
        <f t="shared" si="14"/>
        <v>0</v>
      </c>
      <c r="H16" s="486">
        <f t="shared" si="1"/>
        <v>0</v>
      </c>
      <c r="I16" s="175"/>
      <c r="J16" s="484">
        <v>0</v>
      </c>
      <c r="K16" s="485">
        <f t="shared" si="15"/>
        <v>0</v>
      </c>
      <c r="L16" s="486">
        <f t="shared" si="2"/>
        <v>0</v>
      </c>
      <c r="N16" s="489">
        <f t="shared" si="16"/>
        <v>0</v>
      </c>
      <c r="O16" s="489">
        <f t="shared" si="17"/>
        <v>0</v>
      </c>
      <c r="P16" s="489">
        <f t="shared" si="18"/>
        <v>0</v>
      </c>
      <c r="Q16" s="490">
        <f t="shared" si="19"/>
        <v>0</v>
      </c>
      <c r="R16" s="490">
        <f t="shared" si="20"/>
        <v>0</v>
      </c>
      <c r="T16" s="491">
        <f t="shared" si="21"/>
        <v>0</v>
      </c>
      <c r="U16" s="491">
        <f t="shared" si="22"/>
        <v>0</v>
      </c>
      <c r="V16" s="492">
        <f t="shared" si="23"/>
        <v>0</v>
      </c>
      <c r="W16" s="493">
        <f t="shared" si="24"/>
        <v>0</v>
      </c>
      <c r="X16" s="494">
        <f t="shared" si="25"/>
        <v>0</v>
      </c>
    </row>
    <row r="17" spans="1:24" x14ac:dyDescent="0.35">
      <c r="A17" s="476" t="s">
        <v>1133</v>
      </c>
      <c r="B17" s="487">
        <f t="shared" ref="B17:B22" si="26">VLOOKUP(A17,histsplit,6,FALSE)</f>
        <v>14929164.339169998</v>
      </c>
      <c r="C17" s="485">
        <f t="shared" si="12"/>
        <v>0.15358189669615169</v>
      </c>
      <c r="D17" s="486">
        <f t="shared" si="13"/>
        <v>14978475.03232413</v>
      </c>
      <c r="F17" s="487">
        <f t="shared" ref="F17:F22" si="27">VLOOKUP(A17,histsplit,7,FALSE)</f>
        <v>4872399</v>
      </c>
      <c r="G17" s="485">
        <f t="shared" si="14"/>
        <v>0.11792712756569144</v>
      </c>
      <c r="H17" s="486">
        <f t="shared" si="1"/>
        <v>5571891.5214779777</v>
      </c>
      <c r="I17" s="175"/>
      <c r="J17" s="484">
        <f t="shared" ref="J17:J22" si="28">VLOOKUP(A17,histsplit,3,FALSE)+VLOOKUP(A17,histsplit,4,FALSE)+VLOOKUP(A17,histsplit,5,FALSE)</f>
        <v>11912000</v>
      </c>
      <c r="K17" s="485">
        <f t="shared" si="15"/>
        <v>0.15964401849833518</v>
      </c>
      <c r="L17" s="486">
        <f t="shared" si="2"/>
        <v>12262620.410643227</v>
      </c>
      <c r="N17" s="489">
        <f t="shared" si="16"/>
        <v>14978475.03232413</v>
      </c>
      <c r="O17" s="489">
        <f t="shared" si="17"/>
        <v>17834511.932121206</v>
      </c>
      <c r="P17" s="489">
        <f t="shared" si="18"/>
        <v>32812986.964445338</v>
      </c>
      <c r="Q17" s="490">
        <f t="shared" si="19"/>
        <v>0.45648008358867559</v>
      </c>
      <c r="R17" s="490">
        <f t="shared" si="20"/>
        <v>0.54351991641132436</v>
      </c>
      <c r="T17" s="491">
        <f t="shared" si="21"/>
        <v>5571891.5214779777</v>
      </c>
      <c r="U17" s="491">
        <f t="shared" si="22"/>
        <v>12262620.410643227</v>
      </c>
      <c r="V17" s="492">
        <f t="shared" si="23"/>
        <v>17834511.932121206</v>
      </c>
      <c r="W17" s="493">
        <f t="shared" si="24"/>
        <v>0.31242186737067978</v>
      </c>
      <c r="X17" s="494">
        <f t="shared" si="25"/>
        <v>0.6875781326293201</v>
      </c>
    </row>
    <row r="18" spans="1:24" x14ac:dyDescent="0.35">
      <c r="A18" s="476" t="s">
        <v>1136</v>
      </c>
      <c r="B18" s="487">
        <f t="shared" si="26"/>
        <v>6786607.4886063635</v>
      </c>
      <c r="C18" s="485">
        <f t="shared" si="12"/>
        <v>6.9816369259045871E-2</v>
      </c>
      <c r="D18" s="486">
        <f t="shared" si="13"/>
        <v>6809023.5001007365</v>
      </c>
      <c r="F18" s="487">
        <f t="shared" si="27"/>
        <v>4029938</v>
      </c>
      <c r="G18" s="485">
        <f t="shared" si="14"/>
        <v>9.7536965385599056E-2</v>
      </c>
      <c r="H18" s="486">
        <f t="shared" si="1"/>
        <v>4608484.9320184812</v>
      </c>
      <c r="I18" s="175"/>
      <c r="J18" s="484">
        <f t="shared" si="28"/>
        <v>6021425.54388557</v>
      </c>
      <c r="K18" s="485">
        <f t="shared" si="15"/>
        <v>8.0698839062660843E-2</v>
      </c>
      <c r="L18" s="486">
        <f t="shared" si="2"/>
        <v>6198661.4989606859</v>
      </c>
      <c r="N18" s="489">
        <f t="shared" si="16"/>
        <v>6809023.5001007365</v>
      </c>
      <c r="O18" s="489">
        <f t="shared" si="17"/>
        <v>10807146.430979166</v>
      </c>
      <c r="P18" s="489">
        <f t="shared" si="18"/>
        <v>17616169.931079902</v>
      </c>
      <c r="Q18" s="490">
        <f t="shared" si="19"/>
        <v>0.38652122037536063</v>
      </c>
      <c r="R18" s="490">
        <f t="shared" si="20"/>
        <v>0.61347877962463937</v>
      </c>
      <c r="T18" s="491">
        <f t="shared" si="21"/>
        <v>4608484.9320184812</v>
      </c>
      <c r="U18" s="491">
        <f t="shared" si="22"/>
        <v>6198661.4989606859</v>
      </c>
      <c r="V18" s="492">
        <f t="shared" si="23"/>
        <v>10807146.430979166</v>
      </c>
      <c r="W18" s="493">
        <f t="shared" si="24"/>
        <v>0.42642939664517304</v>
      </c>
      <c r="X18" s="494">
        <f t="shared" si="25"/>
        <v>0.57357060335482701</v>
      </c>
    </row>
    <row r="19" spans="1:24" x14ac:dyDescent="0.35">
      <c r="A19" s="476" t="s">
        <v>1142</v>
      </c>
      <c r="B19" s="487">
        <f t="shared" si="26"/>
        <v>0</v>
      </c>
      <c r="C19" s="485">
        <f t="shared" si="12"/>
        <v>0</v>
      </c>
      <c r="D19" s="486">
        <f t="shared" si="13"/>
        <v>0</v>
      </c>
      <c r="F19" s="487">
        <f t="shared" si="27"/>
        <v>1235426.33</v>
      </c>
      <c r="G19" s="485">
        <f t="shared" si="14"/>
        <v>2.9901138723639836E-2</v>
      </c>
      <c r="H19" s="486">
        <f t="shared" si="1"/>
        <v>1412786.9030302432</v>
      </c>
      <c r="I19" s="175"/>
      <c r="J19" s="484">
        <f t="shared" si="28"/>
        <v>2225000</v>
      </c>
      <c r="K19" s="485">
        <f t="shared" si="15"/>
        <v>2.981933690050334E-2</v>
      </c>
      <c r="L19" s="486">
        <f t="shared" si="2"/>
        <v>2290491.1361384471</v>
      </c>
      <c r="N19" s="489">
        <f t="shared" si="16"/>
        <v>0</v>
      </c>
      <c r="O19" s="489">
        <f t="shared" si="17"/>
        <v>3703278.0391686903</v>
      </c>
      <c r="P19" s="489">
        <f t="shared" si="18"/>
        <v>3703278.0391686903</v>
      </c>
      <c r="Q19" s="490">
        <f t="shared" si="19"/>
        <v>0</v>
      </c>
      <c r="R19" s="490">
        <f t="shared" si="20"/>
        <v>1</v>
      </c>
      <c r="T19" s="491">
        <f t="shared" si="21"/>
        <v>1412786.9030302432</v>
      </c>
      <c r="U19" s="491">
        <f t="shared" si="22"/>
        <v>2290491.1361384471</v>
      </c>
      <c r="V19" s="492">
        <f t="shared" si="23"/>
        <v>3703278.0391686903</v>
      </c>
      <c r="W19" s="493">
        <f t="shared" si="24"/>
        <v>0.38149630896938669</v>
      </c>
      <c r="X19" s="494">
        <f t="shared" si="25"/>
        <v>0.61850369103061331</v>
      </c>
    </row>
    <row r="20" spans="1:24" x14ac:dyDescent="0.35">
      <c r="A20" s="476" t="s">
        <v>1145</v>
      </c>
      <c r="B20" s="487">
        <f t="shared" si="26"/>
        <v>34871385.089159995</v>
      </c>
      <c r="C20" s="485">
        <f t="shared" si="12"/>
        <v>0.35873497944981736</v>
      </c>
      <c r="D20" s="486">
        <f t="shared" si="13"/>
        <v>34986564.487746939</v>
      </c>
      <c r="F20" s="487">
        <f t="shared" si="27"/>
        <v>12575477</v>
      </c>
      <c r="G20" s="485">
        <f t="shared" si="14"/>
        <v>0.30436544305554997</v>
      </c>
      <c r="H20" s="486">
        <f t="shared" si="1"/>
        <v>14380840.664904764</v>
      </c>
      <c r="I20" s="175"/>
      <c r="J20" s="484">
        <f t="shared" si="28"/>
        <v>17368261.45611443</v>
      </c>
      <c r="K20" s="485">
        <f t="shared" si="15"/>
        <v>0.23276855718467546</v>
      </c>
      <c r="L20" s="486">
        <f t="shared" si="2"/>
        <v>17879482.658591073</v>
      </c>
      <c r="N20" s="489">
        <f t="shared" si="16"/>
        <v>34986564.487746939</v>
      </c>
      <c r="O20" s="489">
        <f t="shared" si="17"/>
        <v>32260323.323495835</v>
      </c>
      <c r="P20" s="489">
        <f t="shared" si="18"/>
        <v>67246887.811242774</v>
      </c>
      <c r="Q20" s="490">
        <f t="shared" si="19"/>
        <v>0.52027038910635881</v>
      </c>
      <c r="R20" s="490">
        <f t="shared" si="20"/>
        <v>0.47972961089364113</v>
      </c>
      <c r="T20" s="491">
        <f t="shared" si="21"/>
        <v>14380840.664904764</v>
      </c>
      <c r="U20" s="491">
        <f t="shared" si="22"/>
        <v>17879482.658591073</v>
      </c>
      <c r="V20" s="492">
        <f t="shared" si="23"/>
        <v>32260323.323495835</v>
      </c>
      <c r="W20" s="493">
        <f t="shared" si="24"/>
        <v>0.44577484610735169</v>
      </c>
      <c r="X20" s="494">
        <f t="shared" si="25"/>
        <v>0.55422515389264837</v>
      </c>
    </row>
    <row r="21" spans="1:24" x14ac:dyDescent="0.35">
      <c r="A21" s="476" t="s">
        <v>1150</v>
      </c>
      <c r="B21" s="487">
        <f t="shared" si="26"/>
        <v>9240733.6923999991</v>
      </c>
      <c r="C21" s="485">
        <f t="shared" si="12"/>
        <v>9.5062883300119624E-2</v>
      </c>
      <c r="D21" s="486">
        <f t="shared" si="13"/>
        <v>9271255.6274040528</v>
      </c>
      <c r="F21" s="487">
        <f t="shared" si="27"/>
        <v>2351305</v>
      </c>
      <c r="G21" s="485">
        <f t="shared" si="14"/>
        <v>5.6908854279144237E-2</v>
      </c>
      <c r="H21" s="486">
        <f t="shared" si="1"/>
        <v>2688863.6160357096</v>
      </c>
      <c r="I21" s="175"/>
      <c r="J21" s="484">
        <f t="shared" si="28"/>
        <v>8414000</v>
      </c>
      <c r="K21" s="485">
        <f t="shared" si="15"/>
        <v>0.1127640003059933</v>
      </c>
      <c r="L21" s="486">
        <f t="shared" si="2"/>
        <v>8661659.5143680423</v>
      </c>
      <c r="N21" s="489">
        <f t="shared" si="16"/>
        <v>9271255.6274040528</v>
      </c>
      <c r="O21" s="489">
        <f t="shared" si="17"/>
        <v>11350523.130403752</v>
      </c>
      <c r="P21" s="489">
        <f t="shared" si="18"/>
        <v>20621778.757807806</v>
      </c>
      <c r="Q21" s="490">
        <f t="shared" si="19"/>
        <v>0.4495856412916745</v>
      </c>
      <c r="R21" s="490">
        <f t="shared" si="20"/>
        <v>0.55041435870832545</v>
      </c>
      <c r="T21" s="491">
        <f t="shared" si="21"/>
        <v>2688863.6160357096</v>
      </c>
      <c r="U21" s="491">
        <f t="shared" si="22"/>
        <v>8661659.5143680423</v>
      </c>
      <c r="V21" s="492">
        <f t="shared" si="23"/>
        <v>11350523.130403752</v>
      </c>
      <c r="W21" s="493">
        <f t="shared" si="24"/>
        <v>0.23689336475014641</v>
      </c>
      <c r="X21" s="494">
        <f t="shared" si="25"/>
        <v>0.76310663524985367</v>
      </c>
    </row>
    <row r="22" spans="1:24" x14ac:dyDescent="0.35">
      <c r="A22" s="476" t="s">
        <v>1144</v>
      </c>
      <c r="B22" s="487">
        <f t="shared" si="26"/>
        <v>6430665.9990699999</v>
      </c>
      <c r="C22" s="485">
        <f t="shared" si="12"/>
        <v>6.6154666042850488E-2</v>
      </c>
      <c r="D22" s="486">
        <f t="shared" si="13"/>
        <v>6451906.3438510457</v>
      </c>
      <c r="F22" s="487">
        <f t="shared" si="27"/>
        <v>2296673.56</v>
      </c>
      <c r="G22" s="485">
        <f t="shared" si="14"/>
        <v>5.5586604440003927E-2</v>
      </c>
      <c r="H22" s="486">
        <f t="shared" si="1"/>
        <v>2626389.1640579193</v>
      </c>
      <c r="I22" s="175"/>
      <c r="J22" s="484">
        <f t="shared" si="28"/>
        <v>4244999</v>
      </c>
      <c r="K22" s="485">
        <f t="shared" si="15"/>
        <v>5.6891260819460575E-2</v>
      </c>
      <c r="L22" s="486">
        <f t="shared" si="2"/>
        <v>4369947.2280523917</v>
      </c>
      <c r="N22" s="489">
        <f t="shared" si="16"/>
        <v>6451906.3438510457</v>
      </c>
      <c r="O22" s="489">
        <f t="shared" si="17"/>
        <v>6996336.3921103105</v>
      </c>
      <c r="P22" s="489">
        <f t="shared" si="18"/>
        <v>13448242.735961355</v>
      </c>
      <c r="Q22" s="490">
        <f t="shared" si="19"/>
        <v>0.47975832014083791</v>
      </c>
      <c r="R22" s="490">
        <f t="shared" si="20"/>
        <v>0.52024167985916214</v>
      </c>
      <c r="T22" s="491">
        <f t="shared" si="21"/>
        <v>2626389.1640579193</v>
      </c>
      <c r="U22" s="491">
        <f t="shared" si="22"/>
        <v>4369947.2280523917</v>
      </c>
      <c r="V22" s="492">
        <f t="shared" si="23"/>
        <v>6996336.3921103105</v>
      </c>
      <c r="W22" s="493">
        <f t="shared" si="24"/>
        <v>0.3753949234087241</v>
      </c>
      <c r="X22" s="494">
        <f t="shared" si="25"/>
        <v>0.62460507659127595</v>
      </c>
    </row>
    <row r="23" spans="1:24" x14ac:dyDescent="0.35">
      <c r="A23" s="476" t="s">
        <v>589</v>
      </c>
      <c r="B23" s="495">
        <f>SUM(B10:B22)</f>
        <v>97206537.10056752</v>
      </c>
      <c r="C23" s="496">
        <f>SUM(C10:C22)</f>
        <v>1.0000000000000002</v>
      </c>
      <c r="D23" s="486">
        <f>SUM(D10:D22)</f>
        <v>97527608.100567549</v>
      </c>
      <c r="F23" s="495">
        <f>SUM(F10:F22)</f>
        <v>41317032.82</v>
      </c>
      <c r="G23" s="496">
        <f>SUM(G10:G22)</f>
        <v>1</v>
      </c>
      <c r="H23" s="486">
        <f>SUM(H10:H22)</f>
        <v>47248598.659999989</v>
      </c>
      <c r="I23" s="175"/>
      <c r="J23" s="488">
        <f>SUM(J10:J22)</f>
        <v>74616012</v>
      </c>
      <c r="K23" s="496">
        <f>SUM(K10:K22)</f>
        <v>1</v>
      </c>
      <c r="L23" s="486">
        <f>SUM(L10:L22)</f>
        <v>76812276</v>
      </c>
      <c r="N23" s="489">
        <f t="shared" si="3"/>
        <v>97527608.100567549</v>
      </c>
      <c r="O23" s="489">
        <f t="shared" ref="O23" si="29">+H23+L23</f>
        <v>124060874.66</v>
      </c>
      <c r="P23" s="489">
        <f t="shared" si="4"/>
        <v>221588482.76056755</v>
      </c>
      <c r="Q23" s="490">
        <f t="shared" si="19"/>
        <v>0.44012940964061209</v>
      </c>
      <c r="R23" s="490">
        <f t="shared" si="20"/>
        <v>0.55987059035938791</v>
      </c>
      <c r="T23" s="491">
        <f t="shared" si="21"/>
        <v>47248598.659999989</v>
      </c>
      <c r="U23" s="491">
        <f t="shared" si="22"/>
        <v>76812276</v>
      </c>
      <c r="V23" s="492">
        <f t="shared" si="23"/>
        <v>124060874.66</v>
      </c>
      <c r="W23" s="493">
        <f t="shared" si="24"/>
        <v>0.38085011724678736</v>
      </c>
      <c r="X23" s="494">
        <f t="shared" si="25"/>
        <v>0.61914988275321259</v>
      </c>
    </row>
    <row r="24" spans="1:24" x14ac:dyDescent="0.35">
      <c r="B24" s="497"/>
      <c r="F24" s="23"/>
      <c r="T24"/>
      <c r="U24"/>
      <c r="V24"/>
    </row>
    <row r="25" spans="1:24" x14ac:dyDescent="0.35">
      <c r="B25" s="497"/>
      <c r="F25" s="23"/>
    </row>
    <row r="26" spans="1:24" x14ac:dyDescent="0.35">
      <c r="B26"/>
      <c r="C26"/>
    </row>
    <row r="27" spans="1:24" x14ac:dyDescent="0.35">
      <c r="A27" s="894" t="s">
        <v>1188</v>
      </c>
      <c r="B27"/>
      <c r="C27"/>
    </row>
    <row r="28" spans="1:24" x14ac:dyDescent="0.35">
      <c r="A28" s="176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</row>
    <row r="29" spans="1:24" x14ac:dyDescent="0.35">
      <c r="B29" s="176" t="s">
        <v>802</v>
      </c>
      <c r="C29" s="499" t="s">
        <v>1189</v>
      </c>
      <c r="D29" s="499" t="s">
        <v>1125</v>
      </c>
      <c r="E29" s="499" t="s">
        <v>1126</v>
      </c>
      <c r="F29" s="499" t="s">
        <v>1127</v>
      </c>
      <c r="G29" s="499" t="s">
        <v>1122</v>
      </c>
      <c r="H29" s="499" t="s">
        <v>805</v>
      </c>
    </row>
    <row r="30" spans="1:24" x14ac:dyDescent="0.35">
      <c r="A30" t="str">
        <f>+A10</f>
        <v>PROMO-US-2024 KEYTRUDA ADJUVANT RCC</v>
      </c>
      <c r="B30" t="s">
        <v>1106</v>
      </c>
      <c r="C30" s="23">
        <v>6618000</v>
      </c>
      <c r="D30" s="23">
        <v>270000</v>
      </c>
      <c r="E30" s="23">
        <v>275000</v>
      </c>
      <c r="F30" s="23">
        <v>7785199.0052000005</v>
      </c>
      <c r="G30" s="23">
        <v>3328120</v>
      </c>
      <c r="H30" s="23">
        <f>SUM(C30:G30)</f>
        <v>18276319.005199999</v>
      </c>
      <c r="I30" s="23"/>
    </row>
    <row r="31" spans="1:24" x14ac:dyDescent="0.35">
      <c r="A31" t="str">
        <f>+A12</f>
        <v>PROMO-US-2024 KEYTRUDA BLAD - mUC</v>
      </c>
      <c r="B31" t="s">
        <v>1107</v>
      </c>
      <c r="C31" s="23">
        <v>5004000</v>
      </c>
      <c r="D31" s="23">
        <f>C31/(C31+C32)*270000</f>
        <v>159438.28180316262</v>
      </c>
      <c r="E31" s="23">
        <f>D31/(D31+D32)*275000</f>
        <v>162390.84257729526</v>
      </c>
      <c r="F31" s="23">
        <v>5459817.0288811689</v>
      </c>
      <c r="G31" s="23">
        <v>2505395</v>
      </c>
      <c r="H31" s="23">
        <f t="shared" ref="H31:H40" si="30">SUM(C31:G31)</f>
        <v>13291041.153261628</v>
      </c>
      <c r="I31" s="23"/>
    </row>
    <row r="32" spans="1:24" x14ac:dyDescent="0.35">
      <c r="A32" t="str">
        <f>+A13</f>
        <v>PROMO-US-2024 KEYTRUDA BLAD -NMIBC</v>
      </c>
      <c r="B32" t="s">
        <v>1108</v>
      </c>
      <c r="C32" s="23">
        <v>3470000</v>
      </c>
      <c r="D32" s="23">
        <f>C32/(C32+C31)*270000</f>
        <v>110561.71819683739</v>
      </c>
      <c r="E32" s="23">
        <f>D32/(D32+D31)*275000</f>
        <v>112609.15742270475</v>
      </c>
      <c r="F32" s="23">
        <v>2741521.9980800003</v>
      </c>
      <c r="G32" s="23">
        <v>2972324</v>
      </c>
      <c r="H32" s="23">
        <f t="shared" si="30"/>
        <v>9407016.8736995421</v>
      </c>
      <c r="I32" s="23"/>
    </row>
    <row r="33" spans="1:9" x14ac:dyDescent="0.35">
      <c r="A33" t="str">
        <f>+A11</f>
        <v>PROMO-US-2024 KEYTRUDA BLAD - MIBC</v>
      </c>
      <c r="B33" t="s">
        <v>731</v>
      </c>
      <c r="C33" s="23">
        <v>1000000</v>
      </c>
      <c r="D33" s="23">
        <v>0</v>
      </c>
      <c r="E33" s="23">
        <v>0</v>
      </c>
      <c r="F33" s="23">
        <v>0</v>
      </c>
      <c r="G33" s="23">
        <v>0</v>
      </c>
      <c r="H33" s="23">
        <f t="shared" si="30"/>
        <v>1000000</v>
      </c>
      <c r="I33" s="23"/>
    </row>
    <row r="34" spans="1:9" x14ac:dyDescent="0.35">
      <c r="A34" t="str">
        <f>+A14</f>
        <v>PROMO-US-2024 KEYTRUDA BREAST CANC</v>
      </c>
      <c r="B34" t="s">
        <v>1109</v>
      </c>
      <c r="C34" s="23">
        <v>6003326</v>
      </c>
      <c r="D34" s="23">
        <v>810000</v>
      </c>
      <c r="E34" s="23">
        <v>435000</v>
      </c>
      <c r="F34" s="23">
        <v>8961442.4600000009</v>
      </c>
      <c r="G34" s="23">
        <v>5149974.93</v>
      </c>
      <c r="H34" s="23">
        <f t="shared" si="30"/>
        <v>21359743.390000001</v>
      </c>
      <c r="I34" s="23"/>
    </row>
    <row r="35" spans="1:9" x14ac:dyDescent="0.35">
      <c r="A35" t="str">
        <f>+A17</f>
        <v>PROMO-US-2024 KEYTRUDA GI</v>
      </c>
      <c r="B35" t="s">
        <v>1110</v>
      </c>
      <c r="C35" s="23">
        <v>11367000</v>
      </c>
      <c r="D35" s="23">
        <v>270000</v>
      </c>
      <c r="E35" s="23">
        <v>275000</v>
      </c>
      <c r="F35" s="23">
        <v>14929164.339169998</v>
      </c>
      <c r="G35" s="23">
        <v>4872399</v>
      </c>
      <c r="H35" s="23">
        <f t="shared" si="30"/>
        <v>31713563.339169998</v>
      </c>
      <c r="I35" s="23"/>
    </row>
    <row r="36" spans="1:9" x14ac:dyDescent="0.35">
      <c r="A36" t="str">
        <f>+A21</f>
        <v>PROMO-US-2024 KEYTRUDA OVARIAN AND GYN</v>
      </c>
      <c r="B36" t="s">
        <v>1111</v>
      </c>
      <c r="C36" s="23">
        <v>8139000</v>
      </c>
      <c r="D36" s="23">
        <v>0</v>
      </c>
      <c r="E36" s="23">
        <f>75000+100000+25000+75000</f>
        <v>275000</v>
      </c>
      <c r="F36" s="23">
        <v>9240733.6923999991</v>
      </c>
      <c r="G36" s="23">
        <v>2351305</v>
      </c>
      <c r="H36" s="23">
        <f t="shared" si="30"/>
        <v>20006038.692400001</v>
      </c>
      <c r="I36" s="23"/>
    </row>
    <row r="37" spans="1:9" x14ac:dyDescent="0.35">
      <c r="A37" t="str">
        <f>+A18</f>
        <v>PROMO-US-2024 KEYTRUDA H&amp;N</v>
      </c>
      <c r="B37" t="s">
        <v>764</v>
      </c>
      <c r="C37" s="23">
        <v>5609935</v>
      </c>
      <c r="D37" s="23">
        <f>C37/(C37+C39)*540000</f>
        <v>136490.54388557043</v>
      </c>
      <c r="E37" s="23">
        <v>275000</v>
      </c>
      <c r="F37" s="23">
        <v>6786607.4886063635</v>
      </c>
      <c r="G37" s="23">
        <v>4029938</v>
      </c>
      <c r="H37" s="23">
        <f t="shared" si="30"/>
        <v>16837971.032491934</v>
      </c>
      <c r="I37" s="23"/>
    </row>
    <row r="38" spans="1:9" x14ac:dyDescent="0.35">
      <c r="A38" t="str">
        <f>+A19</f>
        <v>PROMO-US-2024 KEYTRUDA HEME / cHL</v>
      </c>
      <c r="B38" t="s">
        <v>1112</v>
      </c>
      <c r="C38" s="23">
        <v>2225000</v>
      </c>
      <c r="D38" s="23">
        <v>0</v>
      </c>
      <c r="E38" s="23">
        <v>0</v>
      </c>
      <c r="F38" s="23">
        <v>0</v>
      </c>
      <c r="G38" s="23">
        <v>1235426.33</v>
      </c>
      <c r="H38" s="23">
        <f t="shared" si="30"/>
        <v>3460426.33</v>
      </c>
      <c r="I38" s="23"/>
    </row>
    <row r="39" spans="1:9" x14ac:dyDescent="0.35">
      <c r="A39" t="str">
        <f>+A20</f>
        <v>PROMO-US-2024 KEYTRUDA LUNG</v>
      </c>
      <c r="B39" t="s">
        <v>1113</v>
      </c>
      <c r="C39" s="23">
        <v>16584752</v>
      </c>
      <c r="D39" s="23">
        <f>C39/(C39+C37)*540000</f>
        <v>403509.45611442951</v>
      </c>
      <c r="E39" s="23">
        <v>380000</v>
      </c>
      <c r="F39" s="23">
        <v>34871385.089159995</v>
      </c>
      <c r="G39" s="23">
        <v>12575477</v>
      </c>
      <c r="H39" s="23">
        <f t="shared" si="30"/>
        <v>64815123.545274422</v>
      </c>
      <c r="I39" s="23"/>
    </row>
    <row r="40" spans="1:9" x14ac:dyDescent="0.35">
      <c r="A40" t="str">
        <f>+A22</f>
        <v>PROMO-US-2024 KEYTRUDA SKIN CANCER</v>
      </c>
      <c r="B40" t="s">
        <v>1114</v>
      </c>
      <c r="C40" s="23">
        <v>3699999</v>
      </c>
      <c r="D40" s="23">
        <v>270000</v>
      </c>
      <c r="E40" s="23">
        <v>275000</v>
      </c>
      <c r="F40" s="23">
        <v>6430665.9990699999</v>
      </c>
      <c r="G40" s="23">
        <v>2296673.56</v>
      </c>
      <c r="H40" s="23">
        <f t="shared" si="30"/>
        <v>12972338.55907</v>
      </c>
      <c r="I40" s="23"/>
    </row>
    <row r="41" spans="1:9" x14ac:dyDescent="0.35">
      <c r="B41"/>
      <c r="C41"/>
    </row>
    <row r="42" spans="1:9" x14ac:dyDescent="0.35">
      <c r="B42"/>
      <c r="C42"/>
    </row>
    <row r="43" spans="1:9" x14ac:dyDescent="0.35">
      <c r="A43" t="s">
        <v>1117</v>
      </c>
      <c r="B43"/>
      <c r="C43" s="23">
        <f>SUM(C30:C42)</f>
        <v>69721012</v>
      </c>
      <c r="D43" s="23">
        <f>SUM(D30:D42)</f>
        <v>2430000</v>
      </c>
      <c r="E43" s="23">
        <f>SUM(E30:E42)</f>
        <v>2465000</v>
      </c>
      <c r="F43" s="23">
        <f>SUM(F30:F42)</f>
        <v>97206537.100567535</v>
      </c>
      <c r="G43" s="23">
        <f>SUM(G30:G42)</f>
        <v>41317032.82</v>
      </c>
      <c r="H43" s="23">
        <f t="shared" ref="H43" si="31">SUM(C43:G43)</f>
        <v>213139581.92056751</v>
      </c>
    </row>
    <row r="44" spans="1:9" x14ac:dyDescent="0.35">
      <c r="B44"/>
      <c r="C44" s="280"/>
    </row>
    <row r="45" spans="1:9" x14ac:dyDescent="0.35">
      <c r="B45"/>
      <c r="C45" s="280"/>
    </row>
    <row r="46" spans="1:9" x14ac:dyDescent="0.35">
      <c r="A46" s="807" t="s">
        <v>1121</v>
      </c>
      <c r="B46" s="934"/>
      <c r="C46" s="806" t="s">
        <v>803</v>
      </c>
      <c r="D46" s="806" t="s">
        <v>1125</v>
      </c>
      <c r="E46" s="806" t="s">
        <v>1126</v>
      </c>
      <c r="F46" s="806" t="s">
        <v>1127</v>
      </c>
      <c r="G46" s="806" t="s">
        <v>1122</v>
      </c>
      <c r="H46" s="499" t="s">
        <v>805</v>
      </c>
    </row>
    <row r="47" spans="1:9" x14ac:dyDescent="0.35">
      <c r="A47" s="804" t="s">
        <v>1118</v>
      </c>
      <c r="B47" s="934"/>
      <c r="C47" s="805">
        <v>1860000</v>
      </c>
      <c r="D47" s="805">
        <v>0</v>
      </c>
      <c r="E47" s="805">
        <v>0</v>
      </c>
      <c r="F47" s="805">
        <v>0</v>
      </c>
      <c r="G47" s="805">
        <v>0</v>
      </c>
    </row>
    <row r="48" spans="1:9" x14ac:dyDescent="0.35">
      <c r="A48" s="804" t="s">
        <v>1119</v>
      </c>
      <c r="B48" s="934"/>
      <c r="C48" s="935">
        <v>7063560</v>
      </c>
      <c r="D48" s="805">
        <v>0</v>
      </c>
      <c r="E48" s="805">
        <v>100000</v>
      </c>
      <c r="F48" s="805">
        <v>0</v>
      </c>
      <c r="G48" s="805">
        <v>761530</v>
      </c>
    </row>
    <row r="49" spans="1:22" x14ac:dyDescent="0.35">
      <c r="A49" s="804" t="s">
        <v>1120</v>
      </c>
      <c r="B49" s="934"/>
      <c r="C49" s="805">
        <v>42264</v>
      </c>
      <c r="D49" s="805">
        <v>0</v>
      </c>
      <c r="E49" s="805">
        <v>0</v>
      </c>
      <c r="F49" s="805">
        <v>321071</v>
      </c>
      <c r="G49" s="805">
        <v>0</v>
      </c>
    </row>
    <row r="50" spans="1:22" x14ac:dyDescent="0.35">
      <c r="A50" s="804" t="s">
        <v>1238</v>
      </c>
      <c r="B50" s="804"/>
      <c r="C50" s="805">
        <v>0</v>
      </c>
      <c r="D50" s="805">
        <v>0</v>
      </c>
      <c r="E50" s="805">
        <v>194000</v>
      </c>
      <c r="F50" s="805">
        <v>0</v>
      </c>
      <c r="G50" s="805">
        <v>5170035.84</v>
      </c>
    </row>
    <row r="51" spans="1:22" x14ac:dyDescent="0.35">
      <c r="A51" s="804"/>
      <c r="B51" s="804"/>
      <c r="C51" s="804"/>
      <c r="D51" s="804"/>
      <c r="E51" s="804"/>
      <c r="F51" s="804"/>
      <c r="G51" s="804"/>
    </row>
    <row r="52" spans="1:22" x14ac:dyDescent="0.35">
      <c r="A52" s="804"/>
      <c r="B52" s="804"/>
      <c r="C52" s="804"/>
      <c r="D52" s="804"/>
      <c r="E52" s="804"/>
      <c r="F52" s="804"/>
      <c r="G52" s="804"/>
    </row>
    <row r="53" spans="1:22" x14ac:dyDescent="0.35">
      <c r="A53" s="804" t="s">
        <v>589</v>
      </c>
      <c r="B53" s="804"/>
      <c r="C53" s="805">
        <f>+C43+C47+C49+C50</f>
        <v>71623276</v>
      </c>
      <c r="D53" s="805">
        <f>SUM(D43:D50)</f>
        <v>2430000</v>
      </c>
      <c r="E53" s="805">
        <f>SUM(E43:E50)</f>
        <v>2759000</v>
      </c>
      <c r="F53" s="805">
        <f>SUM(F43:F50)</f>
        <v>97527608.100567535</v>
      </c>
      <c r="G53" s="805">
        <f>SUM(G43:G50)</f>
        <v>47248598.659999996</v>
      </c>
    </row>
    <row r="54" spans="1:22" x14ac:dyDescent="0.35">
      <c r="B54"/>
      <c r="C54"/>
    </row>
    <row r="55" spans="1:22" x14ac:dyDescent="0.35">
      <c r="B55"/>
      <c r="C55"/>
    </row>
    <row r="56" spans="1:22" x14ac:dyDescent="0.35">
      <c r="B56"/>
      <c r="C56"/>
    </row>
    <row r="57" spans="1:22" x14ac:dyDescent="0.35">
      <c r="B57"/>
      <c r="C57"/>
    </row>
    <row r="58" spans="1:22" x14ac:dyDescent="0.35">
      <c r="B58"/>
      <c r="C58"/>
    </row>
    <row r="59" spans="1:22" x14ac:dyDescent="0.35">
      <c r="B59"/>
      <c r="C59"/>
      <c r="F59" s="23"/>
      <c r="P59" s="319"/>
      <c r="Q59" s="319"/>
      <c r="R59" s="319"/>
      <c r="T59"/>
      <c r="U59"/>
      <c r="V59"/>
    </row>
    <row r="60" spans="1:22" x14ac:dyDescent="0.35">
      <c r="B60"/>
      <c r="C60"/>
      <c r="F60" s="23"/>
      <c r="P60" s="319"/>
      <c r="Q60" s="319"/>
      <c r="R60" s="319"/>
      <c r="T60"/>
      <c r="U60"/>
      <c r="V60"/>
    </row>
    <row r="61" spans="1:22" x14ac:dyDescent="0.35">
      <c r="B61"/>
      <c r="C61"/>
      <c r="E61" s="23"/>
      <c r="F61" s="23"/>
      <c r="P61" s="319"/>
      <c r="Q61" s="319"/>
      <c r="R61" s="319"/>
      <c r="T61"/>
      <c r="U61"/>
      <c r="V61"/>
    </row>
    <row r="62" spans="1:22" x14ac:dyDescent="0.35">
      <c r="B62"/>
      <c r="C62"/>
      <c r="E62" s="23"/>
      <c r="F62" s="23"/>
      <c r="P62" s="319"/>
      <c r="Q62" s="319"/>
      <c r="R62" s="319"/>
      <c r="T62"/>
      <c r="U62"/>
      <c r="V62"/>
    </row>
    <row r="63" spans="1:22" x14ac:dyDescent="0.35">
      <c r="B63"/>
      <c r="C63"/>
      <c r="F63" s="23"/>
      <c r="P63" s="319"/>
      <c r="Q63" s="319"/>
      <c r="R63" s="319"/>
      <c r="T63"/>
      <c r="U63"/>
      <c r="V63"/>
    </row>
    <row r="64" spans="1:22" x14ac:dyDescent="0.35">
      <c r="B64"/>
      <c r="C64"/>
      <c r="E64" s="23"/>
      <c r="F64" s="23"/>
      <c r="P64" s="319"/>
      <c r="Q64" s="319"/>
      <c r="R64" s="319"/>
      <c r="T64"/>
      <c r="U64"/>
      <c r="V64"/>
    </row>
    <row r="65" spans="2:22" x14ac:dyDescent="0.35">
      <c r="B65"/>
      <c r="C65"/>
      <c r="F65" s="23"/>
      <c r="P65" s="319"/>
      <c r="Q65" s="319"/>
      <c r="R65" s="319"/>
      <c r="T65"/>
      <c r="U65"/>
      <c r="V65"/>
    </row>
    <row r="66" spans="2:22" x14ac:dyDescent="0.35">
      <c r="B66"/>
      <c r="C66"/>
      <c r="F66" s="23"/>
      <c r="P66" s="319"/>
      <c r="Q66" s="319"/>
      <c r="R66" s="319"/>
      <c r="T66"/>
      <c r="U66"/>
      <c r="V66"/>
    </row>
    <row r="67" spans="2:22" x14ac:dyDescent="0.35">
      <c r="B67"/>
      <c r="C67"/>
    </row>
    <row r="68" spans="2:22" x14ac:dyDescent="0.35">
      <c r="B68"/>
      <c r="C68"/>
      <c r="E68" s="23"/>
    </row>
    <row r="69" spans="2:22" x14ac:dyDescent="0.35">
      <c r="B69"/>
      <c r="C69"/>
      <c r="D69" s="176"/>
      <c r="E69" s="23"/>
    </row>
    <row r="70" spans="2:22" x14ac:dyDescent="0.35">
      <c r="B70"/>
      <c r="C70"/>
      <c r="D70" s="176"/>
      <c r="E70" s="23"/>
    </row>
    <row r="71" spans="2:22" x14ac:dyDescent="0.35">
      <c r="B71"/>
      <c r="C71"/>
      <c r="D71" s="176"/>
      <c r="E71" s="23"/>
    </row>
    <row r="72" spans="2:22" x14ac:dyDescent="0.35">
      <c r="B72"/>
      <c r="C72" s="468"/>
      <c r="D72" s="498"/>
    </row>
    <row r="73" spans="2:22" x14ac:dyDescent="0.35">
      <c r="B73"/>
      <c r="C73" s="468"/>
      <c r="D73" s="498"/>
    </row>
    <row r="74" spans="2:22" x14ac:dyDescent="0.35">
      <c r="B74"/>
      <c r="C74" s="468"/>
      <c r="D74" s="498"/>
    </row>
    <row r="75" spans="2:22" x14ac:dyDescent="0.35">
      <c r="B75"/>
      <c r="C75" s="468"/>
      <c r="D75" s="498"/>
    </row>
    <row r="76" spans="2:22" x14ac:dyDescent="0.35">
      <c r="B76"/>
      <c r="C76" s="468"/>
      <c r="D76" s="498"/>
    </row>
    <row r="77" spans="2:22" x14ac:dyDescent="0.35">
      <c r="B77"/>
      <c r="C77" s="468"/>
      <c r="D77" s="498"/>
    </row>
    <row r="78" spans="2:22" x14ac:dyDescent="0.35">
      <c r="B78"/>
      <c r="C78" s="468"/>
      <c r="D78" s="498"/>
    </row>
    <row r="79" spans="2:22" x14ac:dyDescent="0.35">
      <c r="B79"/>
      <c r="C79" s="468"/>
      <c r="D79" s="176"/>
    </row>
    <row r="80" spans="2:22" x14ac:dyDescent="0.35">
      <c r="B80"/>
      <c r="C80" s="468"/>
      <c r="D80" s="498"/>
    </row>
    <row r="81" spans="2:7" x14ac:dyDescent="0.35">
      <c r="B81"/>
    </row>
    <row r="82" spans="2:7" x14ac:dyDescent="0.35">
      <c r="F82" s="468"/>
      <c r="G82" s="498"/>
    </row>
    <row r="83" spans="2:7" x14ac:dyDescent="0.35">
      <c r="F83" s="468"/>
      <c r="G83" s="498"/>
    </row>
  </sheetData>
  <mergeCells count="9">
    <mergeCell ref="N6:R6"/>
    <mergeCell ref="T6:X6"/>
    <mergeCell ref="B8:C8"/>
    <mergeCell ref="F8:G8"/>
    <mergeCell ref="J8:K8"/>
    <mergeCell ref="B6:D6"/>
    <mergeCell ref="F6:H6"/>
    <mergeCell ref="J6:L6"/>
    <mergeCell ref="J7:K7"/>
  </mergeCell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48DD-85BE-45AD-89BC-608C6B957021}">
  <sheetPr>
    <tabColor theme="5" tint="0.39997558519241921"/>
    <pageSetUpPr autoPageBreaks="0"/>
  </sheetPr>
  <dimension ref="A1:V64"/>
  <sheetViews>
    <sheetView topLeftCell="A28" zoomScale="110" zoomScaleNormal="110" workbookViewId="0">
      <selection activeCell="A31" sqref="A31:K44"/>
    </sheetView>
  </sheetViews>
  <sheetFormatPr defaultRowHeight="14.5" outlineLevelRow="1" x14ac:dyDescent="0.35"/>
  <cols>
    <col min="1" max="1" width="39.81640625" customWidth="1"/>
    <col min="2" max="2" width="10.26953125" customWidth="1"/>
    <col min="3" max="3" width="10.90625" customWidth="1"/>
    <col min="4" max="4" width="9.7265625" customWidth="1"/>
    <col min="5" max="5" width="12.26953125" customWidth="1"/>
    <col min="6" max="6" width="11.26953125" customWidth="1"/>
    <col min="9" max="9" width="3.26953125" customWidth="1"/>
    <col min="12" max="12" width="3.26953125" customWidth="1"/>
    <col min="15" max="15" width="3.7265625" customWidth="1"/>
    <col min="16" max="16" width="7.453125" customWidth="1"/>
    <col min="17" max="17" width="10" customWidth="1"/>
    <col min="18" max="18" width="7.54296875" customWidth="1"/>
    <col min="19" max="19" width="6.1796875" customWidth="1"/>
    <col min="23" max="23" width="5.26953125" customWidth="1"/>
  </cols>
  <sheetData>
    <row r="1" spans="1:19" x14ac:dyDescent="0.35">
      <c r="A1" s="174" t="s">
        <v>526</v>
      </c>
    </row>
    <row r="2" spans="1:19" x14ac:dyDescent="0.35">
      <c r="A2" t="s">
        <v>806</v>
      </c>
    </row>
    <row r="3" spans="1:19" x14ac:dyDescent="0.35">
      <c r="A3" t="s">
        <v>807</v>
      </c>
    </row>
    <row r="4" spans="1:19" x14ac:dyDescent="0.35">
      <c r="A4" s="1" t="s">
        <v>808</v>
      </c>
    </row>
    <row r="5" spans="1:19" x14ac:dyDescent="0.35">
      <c r="A5" s="469" t="s">
        <v>809</v>
      </c>
    </row>
    <row r="6" spans="1:19" x14ac:dyDescent="0.35">
      <c r="A6" s="469" t="s">
        <v>810</v>
      </c>
    </row>
    <row r="7" spans="1:19" x14ac:dyDescent="0.35">
      <c r="A7" s="251" t="s">
        <v>811</v>
      </c>
    </row>
    <row r="8" spans="1:19" x14ac:dyDescent="0.35">
      <c r="A8" s="469" t="s">
        <v>812</v>
      </c>
    </row>
    <row r="9" spans="1:19" x14ac:dyDescent="0.35">
      <c r="A9" s="469" t="s">
        <v>813</v>
      </c>
    </row>
    <row r="10" spans="1:19" x14ac:dyDescent="0.35">
      <c r="A10" s="469" t="s">
        <v>814</v>
      </c>
    </row>
    <row r="11" spans="1:19" x14ac:dyDescent="0.35">
      <c r="A11" s="251" t="s">
        <v>815</v>
      </c>
    </row>
    <row r="13" spans="1:19" x14ac:dyDescent="0.35">
      <c r="A13" s="174" t="s">
        <v>816</v>
      </c>
      <c r="S13">
        <v>0</v>
      </c>
    </row>
    <row r="14" spans="1:19" ht="15" thickBot="1" x14ac:dyDescent="0.4">
      <c r="A14" s="499" t="s">
        <v>792</v>
      </c>
      <c r="B14" t="s">
        <v>817</v>
      </c>
      <c r="C14" t="s">
        <v>818</v>
      </c>
      <c r="D14" t="s">
        <v>818</v>
      </c>
    </row>
    <row r="15" spans="1:19" ht="15" thickBot="1" x14ac:dyDescent="0.4">
      <c r="A15" s="500"/>
      <c r="B15" s="501" t="s">
        <v>589</v>
      </c>
      <c r="C15" s="501" t="s">
        <v>525</v>
      </c>
      <c r="D15" s="501" t="s">
        <v>819</v>
      </c>
      <c r="E15" s="502" t="s">
        <v>820</v>
      </c>
      <c r="F15" s="503" t="s">
        <v>1251</v>
      </c>
      <c r="G15" s="504"/>
      <c r="H15" s="504"/>
      <c r="I15" s="504"/>
      <c r="J15" s="504"/>
      <c r="K15" s="504"/>
      <c r="L15" s="504"/>
      <c r="M15" s="504"/>
      <c r="N15" s="504"/>
      <c r="O15" s="504"/>
    </row>
    <row r="16" spans="1:19" ht="15" thickBot="1" x14ac:dyDescent="0.4">
      <c r="A16" s="505" t="s">
        <v>821</v>
      </c>
      <c r="B16" s="506">
        <f>+G18</f>
        <v>0.59446847456058982</v>
      </c>
      <c r="C16" s="506">
        <f>+H18</f>
        <v>0.64734451004850035</v>
      </c>
      <c r="D16" s="506">
        <f>+J18</f>
        <v>0.57468662791185576</v>
      </c>
      <c r="G16" t="s">
        <v>1248</v>
      </c>
      <c r="H16" t="s">
        <v>1249</v>
      </c>
      <c r="J16" t="s">
        <v>1250</v>
      </c>
      <c r="M16" t="s">
        <v>138</v>
      </c>
      <c r="N16" t="s">
        <v>421</v>
      </c>
    </row>
    <row r="17" spans="1:22" ht="15" thickBot="1" x14ac:dyDescent="0.4">
      <c r="A17" s="505" t="s">
        <v>822</v>
      </c>
      <c r="B17" s="506">
        <f>+G17</f>
        <v>0.40553152543941007</v>
      </c>
      <c r="C17" s="506">
        <f>+H17</f>
        <v>0.35265548995149965</v>
      </c>
      <c r="D17" s="506">
        <f>+J17</f>
        <v>0.42531337208814429</v>
      </c>
      <c r="F17" t="s">
        <v>1127</v>
      </c>
      <c r="G17" s="932">
        <v>0.40553152543941007</v>
      </c>
      <c r="H17" s="932">
        <v>0.35265548995149965</v>
      </c>
      <c r="J17" s="932">
        <v>0.42531337208814429</v>
      </c>
      <c r="M17" s="932">
        <v>0.5397885364496382</v>
      </c>
      <c r="N17" s="932">
        <v>0.64622641509433965</v>
      </c>
    </row>
    <row r="18" spans="1:22" x14ac:dyDescent="0.35">
      <c r="B18" s="280"/>
      <c r="F18" t="s">
        <v>793</v>
      </c>
      <c r="G18" s="932">
        <v>0.59446847456058982</v>
      </c>
      <c r="H18" s="932">
        <v>0.64734451004850035</v>
      </c>
      <c r="J18" s="932">
        <v>0.57468662791185576</v>
      </c>
      <c r="M18" s="932">
        <v>0.4602114635503618</v>
      </c>
      <c r="N18" s="932">
        <v>0.35377358490566035</v>
      </c>
    </row>
    <row r="20" spans="1:22" ht="15" thickBot="1" x14ac:dyDescent="0.4">
      <c r="A20" s="174" t="s">
        <v>823</v>
      </c>
      <c r="C20" t="s">
        <v>824</v>
      </c>
      <c r="E20" s="280"/>
    </row>
    <row r="21" spans="1:22" ht="15" thickBot="1" x14ac:dyDescent="0.4">
      <c r="A21" s="505" t="s">
        <v>1130</v>
      </c>
      <c r="B21" s="506">
        <v>0.5</v>
      </c>
      <c r="C21" t="s">
        <v>825</v>
      </c>
    </row>
    <row r="22" spans="1:22" ht="15" thickBot="1" x14ac:dyDescent="0.4">
      <c r="A22" s="505" t="s">
        <v>826</v>
      </c>
      <c r="B22" s="506">
        <v>0.5</v>
      </c>
      <c r="C22" t="s">
        <v>825</v>
      </c>
    </row>
    <row r="23" spans="1:22" ht="15" thickBot="1" x14ac:dyDescent="0.4">
      <c r="A23" s="505" t="s">
        <v>1131</v>
      </c>
      <c r="B23" s="506">
        <v>0.5</v>
      </c>
      <c r="C23" t="s">
        <v>825</v>
      </c>
    </row>
    <row r="24" spans="1:22" ht="15" thickBot="1" x14ac:dyDescent="0.4">
      <c r="A24" s="505" t="s">
        <v>827</v>
      </c>
      <c r="B24" s="506">
        <v>0.5</v>
      </c>
      <c r="C24" t="s">
        <v>825</v>
      </c>
    </row>
    <row r="25" spans="1:22" x14ac:dyDescent="0.35">
      <c r="P25" s="174" t="s">
        <v>828</v>
      </c>
    </row>
    <row r="26" spans="1:22" x14ac:dyDescent="0.35">
      <c r="A26" s="252" t="s">
        <v>829</v>
      </c>
      <c r="J26" s="174" t="s">
        <v>830</v>
      </c>
      <c r="Q26" s="507">
        <v>0</v>
      </c>
      <c r="R26" s="23"/>
    </row>
    <row r="27" spans="1:22" x14ac:dyDescent="0.35">
      <c r="A27" s="469"/>
      <c r="B27" s="280"/>
    </row>
    <row r="28" spans="1:22" ht="15" thickBot="1" x14ac:dyDescent="0.4">
      <c r="A28" s="508" t="s">
        <v>792</v>
      </c>
      <c r="B28" s="299" t="s">
        <v>831</v>
      </c>
      <c r="J28" s="298" t="s">
        <v>832</v>
      </c>
      <c r="M28" s="298" t="s">
        <v>833</v>
      </c>
      <c r="P28" s="298" t="s">
        <v>832</v>
      </c>
      <c r="T28" s="298" t="s">
        <v>833</v>
      </c>
    </row>
    <row r="29" spans="1:22" ht="36" customHeight="1" thickBot="1" x14ac:dyDescent="0.4">
      <c r="A29" s="509"/>
      <c r="B29" s="509"/>
      <c r="C29" s="1077" t="s">
        <v>1129</v>
      </c>
      <c r="D29" s="1077"/>
      <c r="E29" s="1078" t="s">
        <v>1132</v>
      </c>
      <c r="F29" s="1079"/>
      <c r="G29" s="1077" t="s">
        <v>834</v>
      </c>
      <c r="H29" s="1080"/>
      <c r="J29" s="1077" t="s">
        <v>835</v>
      </c>
      <c r="K29" s="1080"/>
      <c r="M29" s="1077" t="s">
        <v>835</v>
      </c>
      <c r="N29" s="1080"/>
      <c r="P29" s="1081" t="s">
        <v>836</v>
      </c>
      <c r="Q29" s="1082"/>
      <c r="R29" s="1083"/>
      <c r="T29" s="1074" t="s">
        <v>836</v>
      </c>
      <c r="U29" s="1075"/>
      <c r="V29" s="1076"/>
    </row>
    <row r="30" spans="1:22" ht="15" thickBot="1" x14ac:dyDescent="0.4">
      <c r="A30" s="510" t="s">
        <v>593</v>
      </c>
      <c r="B30" s="510" t="s">
        <v>3</v>
      </c>
      <c r="C30" s="511" t="s">
        <v>837</v>
      </c>
      <c r="D30" s="511" t="s">
        <v>838</v>
      </c>
      <c r="E30" s="511" t="s">
        <v>837</v>
      </c>
      <c r="F30" s="511" t="s">
        <v>838</v>
      </c>
      <c r="G30" s="510" t="s">
        <v>837</v>
      </c>
      <c r="H30" s="510" t="s">
        <v>838</v>
      </c>
      <c r="J30" s="512" t="s">
        <v>797</v>
      </c>
      <c r="K30" s="513" t="s">
        <v>839</v>
      </c>
      <c r="M30" s="512" t="s">
        <v>797</v>
      </c>
      <c r="N30" s="513" t="s">
        <v>839</v>
      </c>
      <c r="P30" s="514" t="s">
        <v>795</v>
      </c>
      <c r="Q30" s="514" t="s">
        <v>840</v>
      </c>
      <c r="R30" s="514" t="s">
        <v>799</v>
      </c>
      <c r="T30" s="515" t="s">
        <v>795</v>
      </c>
      <c r="U30" s="515" t="s">
        <v>840</v>
      </c>
      <c r="V30" s="514" t="s">
        <v>799</v>
      </c>
    </row>
    <row r="31" spans="1:22" ht="15" thickBot="1" x14ac:dyDescent="0.4">
      <c r="A31" s="476" t="s">
        <v>1152</v>
      </c>
      <c r="B31" s="516" t="s">
        <v>819</v>
      </c>
      <c r="C31" s="517">
        <f>VLOOKUP($A31,histsplit2,'Historical Splits'!$Q$7,FALSE)</f>
        <v>0.41130282473168317</v>
      </c>
      <c r="D31" s="517">
        <f>VLOOKUP($A31,histsplit2,'Historical Splits'!$R$7,FALSE)</f>
        <v>0.58869717526831689</v>
      </c>
      <c r="E31" s="517">
        <f>IF(B31="Lung",$C$17,IF(B31="Non-Lung",$D$17,IF(B31="Total",$B$17,C31)))</f>
        <v>0.42531337208814429</v>
      </c>
      <c r="F31" s="517">
        <f t="shared" ref="F31:F41" si="0">IF(B31="Lung",$C$16,IF(B31="Non-Lung",$D$16,IF(B31="Total",$B$16,D31)))</f>
        <v>0.57468662791185576</v>
      </c>
      <c r="G31" s="522">
        <f>$B$23*C31+$B$24*E31</f>
        <v>0.41830809840991373</v>
      </c>
      <c r="H31" s="522">
        <f>$B$23*D31+$B$24*F31</f>
        <v>0.58169190159008632</v>
      </c>
      <c r="J31" s="518">
        <f ca="1">G31*VLOOKUP($A31,'4.1 Output - Key $ by Tumor'!$A$8:$H$20,8, FALSE)</f>
        <v>4.7489451590540694</v>
      </c>
      <c r="K31" s="518">
        <f ca="1">H31*VLOOKUP($A31,'4.1 Output - Key $ by Tumor'!$A$8:$H$20,8, FALSE)</f>
        <v>6.6037998083656717</v>
      </c>
      <c r="M31" s="518" t="str">
        <f>IFERROR(G31*VLOOKUP($A31,'4.1 Output - Key $ by Tumor'!#REF!,9, FALSE),"-")</f>
        <v>-</v>
      </c>
      <c r="N31" s="518" t="str">
        <f>IFERROR(H31*VLOOKUP($A31,'4.1 Output - Key $ by Tumor'!#REF!,9, FALSE),"-")</f>
        <v>-</v>
      </c>
      <c r="P31" s="519">
        <f t="shared" ref="P31:P44" ca="1" si="1">J31/J$44</f>
        <v>4.7237404113479972E-2</v>
      </c>
      <c r="Q31" s="520">
        <f t="shared" ref="Q31:Q43" ca="1" si="2">P31*$Q$26</f>
        <v>0</v>
      </c>
      <c r="R31" s="521">
        <f t="shared" ref="R31:R44" ca="1" si="3">Q31+J31</f>
        <v>4.7489451590540694</v>
      </c>
      <c r="T31" s="519" t="e">
        <f t="shared" ref="T31:T41" si="4">M31/M$44</f>
        <v>#VALUE!</v>
      </c>
      <c r="U31" s="520" t="e">
        <f t="shared" ref="U31:U41" si="5">T31*$Q$26</f>
        <v>#VALUE!</v>
      </c>
      <c r="V31" s="521" t="e">
        <f t="shared" ref="V31:V41" si="6">U31+M31</f>
        <v>#VALUE!</v>
      </c>
    </row>
    <row r="32" spans="1:22" ht="15" thickBot="1" x14ac:dyDescent="0.4">
      <c r="A32" s="808" t="s">
        <v>1147</v>
      </c>
      <c r="B32" s="516" t="s">
        <v>819</v>
      </c>
      <c r="C32" s="517">
        <f>VLOOKUP($A32,histsplit2,'Historical Splits'!$Q$7,FALSE)</f>
        <v>0</v>
      </c>
      <c r="D32" s="517">
        <f>VLOOKUP($A32,histsplit2,'Historical Splits'!$R$7,FALSE)</f>
        <v>1</v>
      </c>
      <c r="E32" s="517">
        <f t="shared" ref="E32:E43" si="7">IF(B32="Lung",$C$17,IF(B32="Non-Lung",$D$17,IF(B32="Total",$B$17,C32)))</f>
        <v>0.42531337208814429</v>
      </c>
      <c r="F32" s="517">
        <f t="shared" si="0"/>
        <v>0.57468662791185576</v>
      </c>
      <c r="G32" s="936">
        <f>+E32</f>
        <v>0.42531337208814429</v>
      </c>
      <c r="H32" s="936">
        <f>+F32</f>
        <v>0.57468662791185576</v>
      </c>
      <c r="J32" s="518">
        <f ca="1">G32*VLOOKUP($A32,'4.1 Output - Key $ by Tumor'!$A$8:$H$20,8, FALSE)</f>
        <v>4.2864679445519984</v>
      </c>
      <c r="K32" s="518">
        <f ca="1">H32*VLOOKUP($A32,'4.1 Output - Key $ by Tumor'!$A$8:$H$20,8, FALSE)</f>
        <v>5.7919077329088253</v>
      </c>
      <c r="M32" s="518" t="str">
        <f>IFERROR(G32*VLOOKUP($A32,'4.1 Output - Key $ by Tumor'!#REF!,9, FALSE),"-")</f>
        <v>-</v>
      </c>
      <c r="N32" s="518" t="str">
        <f>IFERROR(H32*VLOOKUP($A32,'4.1 Output - Key $ by Tumor'!#REF!,9, FALSE),"-")</f>
        <v>-</v>
      </c>
      <c r="P32" s="519">
        <f t="shared" ca="1" si="1"/>
        <v>4.2637177675181326E-2</v>
      </c>
      <c r="Q32" s="520">
        <f t="shared" ca="1" si="2"/>
        <v>0</v>
      </c>
      <c r="R32" s="521">
        <f t="shared" ca="1" si="3"/>
        <v>4.2864679445519984</v>
      </c>
      <c r="T32" s="523" t="e">
        <f t="shared" si="4"/>
        <v>#VALUE!</v>
      </c>
      <c r="U32" s="524" t="e">
        <f t="shared" si="5"/>
        <v>#VALUE!</v>
      </c>
      <c r="V32" s="525" t="e">
        <f t="shared" si="6"/>
        <v>#VALUE!</v>
      </c>
    </row>
    <row r="33" spans="1:22" ht="15" thickBot="1" x14ac:dyDescent="0.4">
      <c r="A33" s="476" t="s">
        <v>1146</v>
      </c>
      <c r="B33" s="516" t="s">
        <v>819</v>
      </c>
      <c r="C33" s="517">
        <f>VLOOKUP($A33,histsplit2,'Historical Splits'!$Q$7,FALSE)</f>
        <v>0.39621309361612861</v>
      </c>
      <c r="D33" s="517">
        <f>VLOOKUP($A33,histsplit2,'Historical Splits'!$R$7,FALSE)</f>
        <v>0.60378690638387134</v>
      </c>
      <c r="E33" s="517">
        <f t="shared" si="7"/>
        <v>0.42531337208814429</v>
      </c>
      <c r="F33" s="517">
        <f t="shared" si="0"/>
        <v>0.57468662791185576</v>
      </c>
      <c r="G33" s="522">
        <f t="shared" ref="G33:H43" si="8">$B$23*C33+$B$24*E33</f>
        <v>0.41076323285213645</v>
      </c>
      <c r="H33" s="522">
        <f t="shared" si="8"/>
        <v>0.58923676714786355</v>
      </c>
      <c r="J33" s="518">
        <f ca="1">G33*VLOOKUP($A33,'4.1 Output - Key $ by Tumor'!$A$8:$H$20,8, FALSE)</f>
        <v>8.7869166051152803</v>
      </c>
      <c r="K33" s="518">
        <f ca="1">H33*VLOOKUP($A33,'4.1 Output - Key $ by Tumor'!$A$8:$H$20,8, FALSE)</f>
        <v>12.604765761642042</v>
      </c>
      <c r="M33" s="518" t="str">
        <f>IFERROR(G33*VLOOKUP($A33,'4.1 Output - Key $ by Tumor'!#REF!,9, FALSE),"-")</f>
        <v>-</v>
      </c>
      <c r="N33" s="518" t="str">
        <f>IFERROR(H33*VLOOKUP($A33,'4.1 Output - Key $ by Tumor'!#REF!,9, FALSE),"-")</f>
        <v>-</v>
      </c>
      <c r="P33" s="519">
        <f t="shared" ca="1" si="1"/>
        <v>8.7402805609562984E-2</v>
      </c>
      <c r="Q33" s="520">
        <f t="shared" ca="1" si="2"/>
        <v>0</v>
      </c>
      <c r="R33" s="521">
        <f t="shared" ca="1" si="3"/>
        <v>8.7869166051152803</v>
      </c>
      <c r="T33" s="523" t="e">
        <f t="shared" si="4"/>
        <v>#VALUE!</v>
      </c>
      <c r="U33" s="524" t="e">
        <f t="shared" si="5"/>
        <v>#VALUE!</v>
      </c>
      <c r="V33" s="525" t="e">
        <f t="shared" si="6"/>
        <v>#VALUE!</v>
      </c>
    </row>
    <row r="34" spans="1:22" ht="15" thickBot="1" x14ac:dyDescent="0.4">
      <c r="A34" s="476" t="s">
        <v>1148</v>
      </c>
      <c r="B34" s="516" t="s">
        <v>819</v>
      </c>
      <c r="C34" s="517">
        <f>VLOOKUP($A34,histsplit2,'Historical Splits'!$Q$7,FALSE)</f>
        <v>0.27639849557110663</v>
      </c>
      <c r="D34" s="517">
        <f>VLOOKUP($A34,histsplit2,'Historical Splits'!$R$7,FALSE)</f>
        <v>0.72360150442889348</v>
      </c>
      <c r="E34" s="517">
        <f t="shared" si="7"/>
        <v>0.42531337208814429</v>
      </c>
      <c r="F34" s="517">
        <f t="shared" si="0"/>
        <v>0.57468662791185576</v>
      </c>
      <c r="G34" s="522">
        <f t="shared" si="8"/>
        <v>0.35085593382962543</v>
      </c>
      <c r="H34" s="522">
        <f t="shared" si="8"/>
        <v>0.64914406617037468</v>
      </c>
      <c r="J34" s="518">
        <f ca="1">G34*VLOOKUP($A34,'4.1 Output - Key $ by Tumor'!$A$8:$H$20,8, FALSE)</f>
        <v>3.1387128729727816</v>
      </c>
      <c r="K34" s="518">
        <f ca="1">H34*VLOOKUP($A34,'4.1 Output - Key $ by Tumor'!$A$8:$H$20,8, FALSE)</f>
        <v>5.807160832834148</v>
      </c>
      <c r="M34" s="518" t="str">
        <f>IFERROR(G34*VLOOKUP($A34,'4.1 Output - Key $ by Tumor'!#REF!,9, FALSE),"-")</f>
        <v>-</v>
      </c>
      <c r="N34" s="518" t="str">
        <f>IFERROR(H34*VLOOKUP($A34,'4.1 Output - Key $ by Tumor'!#REF!,9, FALSE),"-")</f>
        <v>-</v>
      </c>
      <c r="P34" s="519">
        <f t="shared" ca="1" si="1"/>
        <v>3.1220543386171567E-2</v>
      </c>
      <c r="Q34" s="520">
        <f t="shared" ca="1" si="2"/>
        <v>0</v>
      </c>
      <c r="R34" s="521">
        <f t="shared" ca="1" si="3"/>
        <v>3.1387128729727816</v>
      </c>
      <c r="T34" s="523" t="e">
        <f t="shared" si="4"/>
        <v>#VALUE!</v>
      </c>
      <c r="U34" s="524" t="e">
        <f t="shared" si="5"/>
        <v>#VALUE!</v>
      </c>
      <c r="V34" s="525" t="e">
        <f t="shared" si="6"/>
        <v>#VALUE!</v>
      </c>
    </row>
    <row r="35" spans="1:22" ht="15" thickBot="1" x14ac:dyDescent="0.4">
      <c r="A35" s="476" t="s">
        <v>1143</v>
      </c>
      <c r="B35" s="516" t="s">
        <v>819</v>
      </c>
      <c r="C35" s="517">
        <f>VLOOKUP($A35,histsplit2,'Historical Splits'!$Q$7,FALSE)</f>
        <v>0.40242719477966121</v>
      </c>
      <c r="D35" s="517">
        <f>VLOOKUP($A35,histsplit2,'Historical Splits'!$R$7,FALSE)</f>
        <v>0.59757280522033884</v>
      </c>
      <c r="E35" s="517">
        <f t="shared" si="7"/>
        <v>0.42531337208814429</v>
      </c>
      <c r="F35" s="517">
        <f t="shared" si="0"/>
        <v>0.57468662791185576</v>
      </c>
      <c r="G35" s="522">
        <f t="shared" si="8"/>
        <v>0.41387028343390275</v>
      </c>
      <c r="H35" s="522">
        <f t="shared" si="8"/>
        <v>0.58612971656609725</v>
      </c>
      <c r="J35" s="518">
        <f ca="1">G35*VLOOKUP($A35,'4.1 Output - Key $ by Tumor'!$A$8:$H$20,8, FALSE)</f>
        <v>11.738999264104089</v>
      </c>
      <c r="K35" s="518">
        <f ca="1">H35*VLOOKUP($A35,'4.1 Output - Key $ by Tumor'!$A$8:$H$20,8, FALSE)</f>
        <v>16.624958560325865</v>
      </c>
      <c r="M35" s="518" t="str">
        <f>IFERROR(G35*VLOOKUP($A35,'4.1 Output - Key $ by Tumor'!#REF!,9, FALSE),"-")</f>
        <v>-</v>
      </c>
      <c r="N35" s="518" t="str">
        <f>IFERROR(H35*VLOOKUP($A35,'4.1 Output - Key $ by Tumor'!#REF!,9, FALSE),"-")</f>
        <v>-</v>
      </c>
      <c r="P35" s="519">
        <f t="shared" ca="1" si="1"/>
        <v>0.11676695214496483</v>
      </c>
      <c r="Q35" s="520">
        <f t="shared" ca="1" si="2"/>
        <v>0</v>
      </c>
      <c r="R35" s="521">
        <f t="shared" ca="1" si="3"/>
        <v>11.738999264104089</v>
      </c>
      <c r="T35" s="523" t="e">
        <f t="shared" si="4"/>
        <v>#VALUE!</v>
      </c>
      <c r="U35" s="524" t="e">
        <f t="shared" si="5"/>
        <v>#VALUE!</v>
      </c>
      <c r="V35" s="525" t="e">
        <f t="shared" si="6"/>
        <v>#VALUE!</v>
      </c>
    </row>
    <row r="36" spans="1:22" ht="15" thickBot="1" x14ac:dyDescent="0.4">
      <c r="A36" s="476" t="s">
        <v>1134</v>
      </c>
      <c r="B36" s="516" t="s">
        <v>819</v>
      </c>
      <c r="C36" s="517">
        <f>+C42</f>
        <v>0.4495856412916745</v>
      </c>
      <c r="D36" s="517">
        <f>+D42</f>
        <v>0.55041435870832545</v>
      </c>
      <c r="E36" s="517">
        <f t="shared" si="7"/>
        <v>0.42531337208814429</v>
      </c>
      <c r="F36" s="517">
        <f t="shared" si="0"/>
        <v>0.57468662791185576</v>
      </c>
      <c r="G36" s="522">
        <f t="shared" si="8"/>
        <v>0.4374495066899094</v>
      </c>
      <c r="H36" s="522">
        <f t="shared" si="8"/>
        <v>0.56255049331009066</v>
      </c>
      <c r="J36" s="518">
        <f ca="1">G36*VLOOKUP($A36,'4.1 Output - Key $ by Tumor'!$A$8:$H$20,8, FALSE)</f>
        <v>2.4368940499966643</v>
      </c>
      <c r="K36" s="518">
        <f ca="1">H36*VLOOKUP($A36,'4.1 Output - Key $ by Tumor'!$A$8:$H$20,8, FALSE)</f>
        <v>3.1337924240518298</v>
      </c>
      <c r="M36" s="518" t="str">
        <f>IFERROR(G36*VLOOKUP($A36,'4.1 Output - Key $ by Tumor'!#REF!,9, FALSE),"-")</f>
        <v>-</v>
      </c>
      <c r="N36" s="518" t="str">
        <f>IFERROR(H36*VLOOKUP($A36,'4.1 Output - Key $ by Tumor'!#REF!,9, FALSE),"-")</f>
        <v>-</v>
      </c>
      <c r="P36" s="519">
        <f t="shared" ca="1" si="1"/>
        <v>2.4239603778527585E-2</v>
      </c>
      <c r="Q36" s="520">
        <f t="shared" ca="1" si="2"/>
        <v>0</v>
      </c>
      <c r="R36" s="521">
        <f t="shared" ca="1" si="3"/>
        <v>2.4368940499966643</v>
      </c>
      <c r="T36" s="523" t="e">
        <f t="shared" si="4"/>
        <v>#VALUE!</v>
      </c>
      <c r="U36" s="524" t="e">
        <f t="shared" si="5"/>
        <v>#VALUE!</v>
      </c>
      <c r="V36" s="525" t="e">
        <f t="shared" si="6"/>
        <v>#VALUE!</v>
      </c>
    </row>
    <row r="37" spans="1:22" ht="15" thickBot="1" x14ac:dyDescent="0.4">
      <c r="A37" s="476" t="s">
        <v>1138</v>
      </c>
      <c r="B37" s="516" t="s">
        <v>819</v>
      </c>
      <c r="C37" s="517">
        <f>+C42</f>
        <v>0.4495856412916745</v>
      </c>
      <c r="D37" s="517">
        <f>+D42</f>
        <v>0.55041435870832545</v>
      </c>
      <c r="E37" s="517">
        <f t="shared" si="7"/>
        <v>0.42531337208814429</v>
      </c>
      <c r="F37" s="517">
        <f t="shared" si="0"/>
        <v>0.57468662791185576</v>
      </c>
      <c r="G37" s="522">
        <f t="shared" si="8"/>
        <v>0.4374495066899094</v>
      </c>
      <c r="H37" s="522">
        <f t="shared" si="8"/>
        <v>0.56255049331009066</v>
      </c>
      <c r="J37" s="518">
        <f ca="1">G37*VLOOKUP($A37,'4.1 Output - Key $ by Tumor'!$A$8:$H$20,8, FALSE)</f>
        <v>8.5233753742257878</v>
      </c>
      <c r="K37" s="518">
        <f ca="1">H37*VLOOKUP($A37,'4.1 Output - Key $ by Tumor'!$A$8:$H$20,8, FALSE)</f>
        <v>10.960874222305753</v>
      </c>
      <c r="M37" s="518" t="str">
        <f>IFERROR(G37*VLOOKUP($A37,'4.1 Output - Key $ by Tumor'!#REF!,9, FALSE),"-")</f>
        <v>-</v>
      </c>
      <c r="N37" s="518" t="str">
        <f>IFERROR(H37*VLOOKUP($A37,'4.1 Output - Key $ by Tumor'!#REF!,9, FALSE),"-")</f>
        <v>-</v>
      </c>
      <c r="P37" s="519">
        <f t="shared" ca="1" si="1"/>
        <v>8.4781380596819611E-2</v>
      </c>
      <c r="Q37" s="520">
        <f t="shared" ca="1" si="2"/>
        <v>0</v>
      </c>
      <c r="R37" s="521">
        <f t="shared" ca="1" si="3"/>
        <v>8.5233753742257878</v>
      </c>
      <c r="T37" s="523" t="e">
        <f t="shared" si="4"/>
        <v>#VALUE!</v>
      </c>
      <c r="U37" s="524" t="e">
        <f t="shared" si="5"/>
        <v>#VALUE!</v>
      </c>
      <c r="V37" s="525" t="e">
        <f t="shared" si="6"/>
        <v>#VALUE!</v>
      </c>
    </row>
    <row r="38" spans="1:22" ht="15" thickBot="1" x14ac:dyDescent="0.4">
      <c r="A38" s="476" t="s">
        <v>1133</v>
      </c>
      <c r="B38" s="516" t="s">
        <v>819</v>
      </c>
      <c r="C38" s="517">
        <f>VLOOKUP($A38,histsplit2,'Historical Splits'!$Q$7,FALSE)</f>
        <v>0.45648008358867559</v>
      </c>
      <c r="D38" s="517">
        <f>VLOOKUP($A38,histsplit2,'Historical Splits'!$R$7,FALSE)</f>
        <v>0.54351991641132436</v>
      </c>
      <c r="E38" s="517">
        <f t="shared" si="7"/>
        <v>0.42531337208814429</v>
      </c>
      <c r="F38" s="517">
        <f t="shared" si="0"/>
        <v>0.57468662791185576</v>
      </c>
      <c r="G38" s="522">
        <f t="shared" si="8"/>
        <v>0.44089672783840994</v>
      </c>
      <c r="H38" s="522">
        <f t="shared" si="8"/>
        <v>0.55910327216159006</v>
      </c>
      <c r="J38" s="518">
        <f ca="1">G38*VLOOKUP($A38,'4.1 Output - Key $ by Tumor'!$A$8:$H$20,8, FALSE)</f>
        <v>13.280193472357874</v>
      </c>
      <c r="K38" s="518">
        <f ca="1">H38*VLOOKUP($A38,'4.1 Output - Key $ by Tumor'!$A$8:$H$20,8, FALSE)</f>
        <v>16.840677547635515</v>
      </c>
      <c r="M38" s="518" t="str">
        <f>IFERROR(G38*VLOOKUP($A38,'4.1 Output - Key $ by Tumor'!#REF!,9, FALSE),"-")</f>
        <v>-</v>
      </c>
      <c r="N38" s="518" t="str">
        <f>IFERROR(H38*VLOOKUP($A38,'4.1 Output - Key $ by Tumor'!#REF!,9, FALSE),"-")</f>
        <v>-</v>
      </c>
      <c r="P38" s="519">
        <f t="shared" ca="1" si="1"/>
        <v>0.13209709624945898</v>
      </c>
      <c r="Q38" s="520">
        <f t="shared" ca="1" si="2"/>
        <v>0</v>
      </c>
      <c r="R38" s="521">
        <f t="shared" ca="1" si="3"/>
        <v>13.280193472357874</v>
      </c>
      <c r="T38" s="523" t="e">
        <f t="shared" si="4"/>
        <v>#VALUE!</v>
      </c>
      <c r="U38" s="524" t="e">
        <f t="shared" si="5"/>
        <v>#VALUE!</v>
      </c>
      <c r="V38" s="525" t="e">
        <f t="shared" si="6"/>
        <v>#VALUE!</v>
      </c>
    </row>
    <row r="39" spans="1:22" ht="15" thickBot="1" x14ac:dyDescent="0.4">
      <c r="A39" s="476" t="s">
        <v>1136</v>
      </c>
      <c r="B39" s="516" t="s">
        <v>819</v>
      </c>
      <c r="C39" s="517">
        <f>VLOOKUP($A39,histsplit2,'Historical Splits'!$Q$7,FALSE)</f>
        <v>0.38652122037536063</v>
      </c>
      <c r="D39" s="517">
        <f>VLOOKUP($A39,histsplit2,'Historical Splits'!$R$7,FALSE)</f>
        <v>0.61347877962463937</v>
      </c>
      <c r="E39" s="517">
        <f t="shared" si="7"/>
        <v>0.42531337208814429</v>
      </c>
      <c r="F39" s="517">
        <f t="shared" si="0"/>
        <v>0.57468662791185576</v>
      </c>
      <c r="G39" s="522">
        <f t="shared" si="8"/>
        <v>0.40591729623175243</v>
      </c>
      <c r="H39" s="522">
        <f t="shared" si="8"/>
        <v>0.59408270376824757</v>
      </c>
      <c r="J39" s="518">
        <f ca="1">G39*VLOOKUP($A39,'4.1 Output - Key $ by Tumor'!$A$8:$H$20,8, FALSE)</f>
        <v>4.4886581113927377</v>
      </c>
      <c r="K39" s="518">
        <f ca="1">H39*VLOOKUP($A39,'4.1 Output - Key $ by Tumor'!$A$8:$H$20,8, FALSE)</f>
        <v>6.5694026144305973</v>
      </c>
      <c r="M39" s="518" t="str">
        <f>IFERROR(G39*VLOOKUP($A39,'4.1 Output - Key $ by Tumor'!#REF!,9, FALSE),"-")</f>
        <v>-</v>
      </c>
      <c r="N39" s="518" t="str">
        <f>IFERROR(H39*VLOOKUP($A39,'4.1 Output - Key $ by Tumor'!#REF!,9, FALSE),"-")</f>
        <v>-</v>
      </c>
      <c r="P39" s="519">
        <f t="shared" ca="1" si="1"/>
        <v>4.4648348219153325E-2</v>
      </c>
      <c r="Q39" s="520">
        <f t="shared" ca="1" si="2"/>
        <v>0</v>
      </c>
      <c r="R39" s="521">
        <f t="shared" ca="1" si="3"/>
        <v>4.4886581113927377</v>
      </c>
      <c r="T39" s="523" t="e">
        <f t="shared" si="4"/>
        <v>#VALUE!</v>
      </c>
      <c r="U39" s="524" t="e">
        <f t="shared" si="5"/>
        <v>#VALUE!</v>
      </c>
      <c r="V39" s="525" t="e">
        <f t="shared" si="6"/>
        <v>#VALUE!</v>
      </c>
    </row>
    <row r="40" spans="1:22" ht="15" thickBot="1" x14ac:dyDescent="0.4">
      <c r="A40" s="476" t="s">
        <v>1142</v>
      </c>
      <c r="B40" s="516" t="s">
        <v>820</v>
      </c>
      <c r="C40" s="517">
        <f>VLOOKUP($A40,histsplit2,'Historical Splits'!$Q$7,FALSE)</f>
        <v>0</v>
      </c>
      <c r="D40" s="517">
        <f>VLOOKUP($A40,histsplit2,'Historical Splits'!$R$7,FALSE)</f>
        <v>1</v>
      </c>
      <c r="E40" s="517">
        <f t="shared" si="7"/>
        <v>0</v>
      </c>
      <c r="F40" s="517">
        <f t="shared" si="0"/>
        <v>1</v>
      </c>
      <c r="G40" s="522">
        <f t="shared" si="8"/>
        <v>0</v>
      </c>
      <c r="H40" s="522">
        <f t="shared" si="8"/>
        <v>1</v>
      </c>
      <c r="J40" s="518">
        <f ca="1">G40*VLOOKUP($A40,'4.1 Output - Key $ by Tumor'!$A$8:$H$20,8, FALSE)</f>
        <v>0</v>
      </c>
      <c r="K40" s="518">
        <f ca="1">H40*VLOOKUP($A40,'4.1 Output - Key $ by Tumor'!$A$8:$H$20,8, FALSE)</f>
        <v>1.2365613492348646</v>
      </c>
      <c r="M40" s="518" t="str">
        <f>IFERROR(G40*VLOOKUP($A40,'4.1 Output - Key $ by Tumor'!#REF!,9, FALSE),"-")</f>
        <v>-</v>
      </c>
      <c r="N40" s="518" t="str">
        <f>IFERROR(H40*VLOOKUP($A40,'4.1 Output - Key $ by Tumor'!#REF!,9, FALSE),"-")</f>
        <v>-</v>
      </c>
      <c r="P40" s="519">
        <f t="shared" ca="1" si="1"/>
        <v>0</v>
      </c>
      <c r="Q40" s="520">
        <f t="shared" ca="1" si="2"/>
        <v>0</v>
      </c>
      <c r="R40" s="521">
        <f t="shared" ca="1" si="3"/>
        <v>0</v>
      </c>
      <c r="T40" s="523" t="e">
        <f t="shared" si="4"/>
        <v>#VALUE!</v>
      </c>
      <c r="U40" s="524" t="e">
        <f t="shared" si="5"/>
        <v>#VALUE!</v>
      </c>
      <c r="V40" s="525" t="e">
        <f t="shared" si="6"/>
        <v>#VALUE!</v>
      </c>
    </row>
    <row r="41" spans="1:22" ht="15" thickBot="1" x14ac:dyDescent="0.4">
      <c r="A41" s="476" t="s">
        <v>1145</v>
      </c>
      <c r="B41" s="516" t="s">
        <v>525</v>
      </c>
      <c r="C41" s="517">
        <f>VLOOKUP($A41,histsplit2,'Historical Splits'!$Q$7,FALSE)</f>
        <v>0.52027038910635881</v>
      </c>
      <c r="D41" s="517">
        <f>VLOOKUP($A41,histsplit2,'Historical Splits'!$R$7,FALSE)</f>
        <v>0.47972961089364113</v>
      </c>
      <c r="E41" s="517">
        <f t="shared" si="7"/>
        <v>0.35265548995149965</v>
      </c>
      <c r="F41" s="517">
        <f t="shared" si="0"/>
        <v>0.64734451004850035</v>
      </c>
      <c r="G41" s="522">
        <f t="shared" si="8"/>
        <v>0.43646293952892923</v>
      </c>
      <c r="H41" s="522">
        <f t="shared" si="8"/>
        <v>0.56353706047107077</v>
      </c>
      <c r="J41" s="518">
        <f ca="1">G41*VLOOKUP($A41,'4.1 Output - Key $ by Tumor'!$A$8:$H$20,8, FALSE)</f>
        <v>27.79306097068979</v>
      </c>
      <c r="K41" s="518">
        <f ca="1">H41*VLOOKUP($A41,'4.1 Output - Key $ by Tumor'!$A$8:$H$20,8, FALSE)</f>
        <v>35.884879247296659</v>
      </c>
      <c r="M41" s="518" t="str">
        <f>IFERROR(G41*VLOOKUP($A41,'4.1 Output - Key $ by Tumor'!#REF!,9, FALSE),"-")</f>
        <v>-</v>
      </c>
      <c r="N41" s="518" t="str">
        <f>IFERROR(H41*VLOOKUP($A41,'4.1 Output - Key $ by Tumor'!#REF!,9, FALSE),"-")</f>
        <v>-</v>
      </c>
      <c r="P41" s="519">
        <f t="shared" ca="1" si="1"/>
        <v>0.27645550930821222</v>
      </c>
      <c r="Q41" s="520">
        <f t="shared" ca="1" si="2"/>
        <v>0</v>
      </c>
      <c r="R41" s="521">
        <f t="shared" ca="1" si="3"/>
        <v>27.79306097068979</v>
      </c>
      <c r="T41" s="523" t="e">
        <f t="shared" si="4"/>
        <v>#VALUE!</v>
      </c>
      <c r="U41" s="524" t="e">
        <f t="shared" si="5"/>
        <v>#VALUE!</v>
      </c>
      <c r="V41" s="525" t="e">
        <f t="shared" si="6"/>
        <v>#VALUE!</v>
      </c>
    </row>
    <row r="42" spans="1:22" ht="15" thickBot="1" x14ac:dyDescent="0.4">
      <c r="A42" s="476" t="s">
        <v>1150</v>
      </c>
      <c r="B42" s="516" t="s">
        <v>819</v>
      </c>
      <c r="C42" s="517">
        <f>VLOOKUP($A42,histsplit2,'Historical Splits'!$Q$7,FALSE)</f>
        <v>0.4495856412916745</v>
      </c>
      <c r="D42" s="517">
        <f>VLOOKUP($A42,histsplit2,'Historical Splits'!$R$7,FALSE)</f>
        <v>0.55041435870832545</v>
      </c>
      <c r="E42" s="517">
        <f t="shared" si="7"/>
        <v>0.42531337208814429</v>
      </c>
      <c r="F42" s="517">
        <f>IF(B42="Lung",$C$16,IF(B42="Non-Lung",$D$16,IF(B42="Total",$B$16,D42)))</f>
        <v>0.57468662791185576</v>
      </c>
      <c r="G42" s="522">
        <f t="shared" si="8"/>
        <v>0.4374495066899094</v>
      </c>
      <c r="H42" s="522">
        <f t="shared" si="8"/>
        <v>0.56255049331009066</v>
      </c>
      <c r="J42" s="518">
        <f ca="1">G42*VLOOKUP($A42,'4.1 Output - Key $ by Tumor'!$A$8:$H$20,8, FALSE)</f>
        <v>4.26228064681142</v>
      </c>
      <c r="K42" s="518">
        <f ca="1">H42*VLOOKUP($A42,'4.1 Output - Key $ by Tumor'!$A$8:$H$20,8, FALSE)</f>
        <v>5.4811996443500055</v>
      </c>
      <c r="M42" s="518" t="str">
        <f>IFERROR(G42*VLOOKUP($A42,'4.1 Output - Key $ by Tumor'!#REF!,9, FALSE),"-")</f>
        <v>-</v>
      </c>
      <c r="N42" s="518" t="str">
        <f>IFERROR(H42*VLOOKUP($A42,'4.1 Output - Key $ by Tumor'!#REF!,9, FALSE),"-")</f>
        <v>-</v>
      </c>
      <c r="P42" s="519">
        <f t="shared" ca="1" si="1"/>
        <v>4.2396588424407092E-2</v>
      </c>
      <c r="Q42" s="520">
        <f t="shared" ca="1" si="2"/>
        <v>0</v>
      </c>
      <c r="R42" s="521">
        <f t="shared" ca="1" si="3"/>
        <v>4.26228064681142</v>
      </c>
      <c r="T42" s="523"/>
      <c r="U42" s="524"/>
      <c r="V42" s="525"/>
    </row>
    <row r="43" spans="1:22" ht="15" outlineLevel="1" thickBot="1" x14ac:dyDescent="0.4">
      <c r="A43" s="476" t="s">
        <v>1144</v>
      </c>
      <c r="B43" s="516" t="s">
        <v>819</v>
      </c>
      <c r="C43" s="517">
        <f>VLOOKUP($A43,histsplit2,'Historical Splits'!$Q$7,FALSE)</f>
        <v>0.47975832014083791</v>
      </c>
      <c r="D43" s="517">
        <f>VLOOKUP($A43,histsplit2,'Historical Splits'!$R$7,FALSE)</f>
        <v>0.52024167985916214</v>
      </c>
      <c r="E43" s="517">
        <f t="shared" si="7"/>
        <v>0.42531337208814429</v>
      </c>
      <c r="F43" s="517">
        <f t="shared" ref="F43" si="9">IF(B43="Lung",$C$16,IF(B43="Non-Lung",$D$16,IF(B43="Total",$B$16,D43)))</f>
        <v>0.57468662791185576</v>
      </c>
      <c r="G43" s="522">
        <f t="shared" si="8"/>
        <v>0.4525358461144911</v>
      </c>
      <c r="H43" s="522">
        <f t="shared" si="8"/>
        <v>0.54746415388550895</v>
      </c>
      <c r="J43" s="518">
        <f ca="1">G43*VLOOKUP($A43,'4.1 Output - Key $ by Tumor'!$A$8:$H$20,8, FALSE)</f>
        <v>7.0490715831085264</v>
      </c>
      <c r="K43" s="518">
        <f ca="1">H43*VLOOKUP($A43,'4.1 Output - Key $ by Tumor'!$A$8:$H$20,8, FALSE)</f>
        <v>8.5277532002371874</v>
      </c>
      <c r="M43" s="518" t="str">
        <f>IFERROR(G43*VLOOKUP($A43,'4.1 Output - Key $ by Tumor'!#REF!,9, FALSE),"-")</f>
        <v>-</v>
      </c>
      <c r="N43" s="518" t="str">
        <f>IFERROR(H43*VLOOKUP($A43,'4.1 Output - Key $ by Tumor'!#REF!,9, FALSE),"-")</f>
        <v>-</v>
      </c>
      <c r="P43" s="519">
        <f t="shared" ca="1" si="1"/>
        <v>7.0116590494060563E-2</v>
      </c>
      <c r="Q43" s="520">
        <f t="shared" ca="1" si="2"/>
        <v>0</v>
      </c>
      <c r="R43" s="521">
        <f t="shared" ca="1" si="3"/>
        <v>7.0490715831085264</v>
      </c>
      <c r="T43" s="523" t="e">
        <f>M43/M$44</f>
        <v>#VALUE!</v>
      </c>
      <c r="U43" s="524" t="e">
        <f>T43*$Q$26</f>
        <v>#VALUE!</v>
      </c>
      <c r="V43" s="525" t="e">
        <f>U43+M43</f>
        <v>#VALUE!</v>
      </c>
    </row>
    <row r="44" spans="1:22" ht="11.65" customHeight="1" thickBot="1" x14ac:dyDescent="0.4">
      <c r="A44" s="526" t="s">
        <v>589</v>
      </c>
      <c r="B44" s="527"/>
      <c r="C44" s="528"/>
      <c r="D44" s="528"/>
      <c r="E44" s="528"/>
      <c r="F44" s="528"/>
      <c r="G44" s="529"/>
      <c r="H44" s="529"/>
      <c r="J44" s="530">
        <f ca="1">SUM(J31:J43)</f>
        <v>100.53357605438102</v>
      </c>
      <c r="K44" s="530">
        <f ca="1">SUM(K31:K43)</f>
        <v>136.06773294561896</v>
      </c>
      <c r="M44" s="530">
        <f>SUM(M31:M41,M43:M43)</f>
        <v>0</v>
      </c>
      <c r="N44" s="530">
        <f>SUM(N31:N41,N43:N43)</f>
        <v>0</v>
      </c>
      <c r="P44" s="519">
        <f t="shared" ca="1" si="1"/>
        <v>1</v>
      </c>
      <c r="Q44" s="531">
        <f ca="1">SUM(Q31:Q43)</f>
        <v>0</v>
      </c>
      <c r="R44" s="521">
        <f t="shared" ca="1" si="3"/>
        <v>100.53357605438102</v>
      </c>
      <c r="T44" s="532" t="e">
        <f>SUM(T31:T43)</f>
        <v>#VALUE!</v>
      </c>
      <c r="U44" s="531" t="e">
        <f>SUM(U31:U43)</f>
        <v>#VALUE!</v>
      </c>
      <c r="V44" s="533" t="e">
        <f>SUM(V31:V43)</f>
        <v>#VALUE!</v>
      </c>
    </row>
    <row r="45" spans="1:22" x14ac:dyDescent="0.35">
      <c r="J45" t="s">
        <v>841</v>
      </c>
      <c r="M45" t="s">
        <v>842</v>
      </c>
      <c r="P45" s="176"/>
      <c r="Q45" t="s">
        <v>842</v>
      </c>
      <c r="R45" s="176"/>
      <c r="U45" t="s">
        <v>842</v>
      </c>
    </row>
    <row r="46" spans="1:22" x14ac:dyDescent="0.35">
      <c r="J46" s="319">
        <f ca="1">+J44/(J44+K44)</f>
        <v>0.42490709996190695</v>
      </c>
      <c r="M46" s="319" t="e">
        <f>+M44/(M44+N44)</f>
        <v>#DIV/0!</v>
      </c>
      <c r="P46" s="176"/>
      <c r="Q46" s="534"/>
      <c r="R46" s="176"/>
    </row>
    <row r="47" spans="1:22" x14ac:dyDescent="0.35">
      <c r="P47" s="176"/>
      <c r="Q47" s="534"/>
      <c r="R47" s="176"/>
    </row>
    <row r="48" spans="1:22" x14ac:dyDescent="0.35">
      <c r="E48" t="s">
        <v>1278</v>
      </c>
      <c r="F48" t="s">
        <v>1277</v>
      </c>
      <c r="G48" s="970" t="s">
        <v>1285</v>
      </c>
      <c r="H48" s="971" t="s">
        <v>1286</v>
      </c>
      <c r="P48" s="809" t="s">
        <v>1154</v>
      </c>
      <c r="Q48" s="809"/>
      <c r="R48" s="809"/>
      <c r="S48" s="809"/>
      <c r="T48" s="809"/>
      <c r="U48" s="809"/>
      <c r="V48" s="809"/>
    </row>
    <row r="49" spans="2:21" x14ac:dyDescent="0.35">
      <c r="B49" t="s">
        <v>1282</v>
      </c>
      <c r="E49" s="175">
        <v>95.177395077781966</v>
      </c>
      <c r="F49" s="1073">
        <f ca="1">+J44</f>
        <v>100.53357605438102</v>
      </c>
      <c r="G49" s="467">
        <f>1-G51</f>
        <v>0.48719509500003888</v>
      </c>
      <c r="H49" s="467">
        <f ca="1">1-H51</f>
        <v>0.4249070999619069</v>
      </c>
      <c r="O49" s="450" t="s">
        <v>843</v>
      </c>
      <c r="R49" s="535">
        <f ca="1">+J44</f>
        <v>100.53357605438102</v>
      </c>
      <c r="S49" s="536">
        <f ca="1">+R49/R52</f>
        <v>1</v>
      </c>
    </row>
    <row r="50" spans="2:21" x14ac:dyDescent="0.35">
      <c r="B50" t="s">
        <v>1283</v>
      </c>
      <c r="E50" s="175">
        <v>23.2</v>
      </c>
      <c r="F50" s="1073"/>
      <c r="O50" s="450" t="s">
        <v>844</v>
      </c>
      <c r="R50" s="535">
        <f ca="1">+Q44</f>
        <v>0</v>
      </c>
    </row>
    <row r="51" spans="2:21" x14ac:dyDescent="0.35">
      <c r="B51" t="s">
        <v>1284</v>
      </c>
      <c r="E51" s="175">
        <v>124.6</v>
      </c>
      <c r="F51" s="175">
        <f ca="1">+K44</f>
        <v>136.06773294561896</v>
      </c>
      <c r="G51" s="319">
        <f>+E51/E53</f>
        <v>0.51280490499996112</v>
      </c>
      <c r="H51" s="319">
        <f ca="1">+F51/F53</f>
        <v>0.5750929000380931</v>
      </c>
      <c r="O51" s="537" t="s">
        <v>845</v>
      </c>
      <c r="P51" s="538"/>
      <c r="Q51" s="538"/>
      <c r="R51" s="937">
        <v>0</v>
      </c>
      <c r="S51" s="538"/>
      <c r="T51" s="538"/>
      <c r="U51" s="538"/>
    </row>
    <row r="52" spans="2:21" x14ac:dyDescent="0.35">
      <c r="O52" s="450" t="s">
        <v>846</v>
      </c>
      <c r="P52" s="176"/>
      <c r="Q52" s="534"/>
      <c r="R52" s="535">
        <f ca="1">SUM(R49:R51)</f>
        <v>100.53357605438102</v>
      </c>
    </row>
    <row r="53" spans="2:21" x14ac:dyDescent="0.35">
      <c r="E53" s="175">
        <f>SUM(E49:E52)</f>
        <v>242.97739507778198</v>
      </c>
      <c r="F53" s="175">
        <f ca="1">SUM(F49:F51)</f>
        <v>236.60130899999996</v>
      </c>
      <c r="O53" s="450"/>
      <c r="P53" s="176"/>
      <c r="Q53" s="534"/>
      <c r="R53" s="176"/>
    </row>
    <row r="54" spans="2:21" x14ac:dyDescent="0.35">
      <c r="P54" s="176"/>
      <c r="Q54" s="534"/>
      <c r="R54" s="176"/>
    </row>
    <row r="55" spans="2:21" x14ac:dyDescent="0.35">
      <c r="B55" t="s">
        <v>1291</v>
      </c>
      <c r="F55" s="175">
        <f>+'Modelling Budget'!D24/1000000</f>
        <v>176.648753</v>
      </c>
      <c r="P55" s="176"/>
      <c r="Q55" s="534"/>
      <c r="R55" s="176"/>
    </row>
    <row r="56" spans="2:21" x14ac:dyDescent="0.35">
      <c r="B56" t="s">
        <v>1292</v>
      </c>
      <c r="F56" s="175">
        <f ca="1">+F55+F49</f>
        <v>277.182329054381</v>
      </c>
      <c r="P56" s="176"/>
      <c r="Q56" s="534"/>
      <c r="R56" s="176"/>
    </row>
    <row r="57" spans="2:21" x14ac:dyDescent="0.35">
      <c r="P57" s="176"/>
      <c r="Q57" s="534"/>
      <c r="R57" s="176"/>
    </row>
    <row r="58" spans="2:21" x14ac:dyDescent="0.35">
      <c r="P58" s="176"/>
      <c r="Q58" s="534"/>
      <c r="R58" s="176"/>
    </row>
    <row r="59" spans="2:21" x14ac:dyDescent="0.35">
      <c r="P59" s="176"/>
      <c r="Q59" s="534"/>
      <c r="R59" s="176"/>
    </row>
    <row r="60" spans="2:21" x14ac:dyDescent="0.35">
      <c r="Q60" s="175"/>
    </row>
    <row r="61" spans="2:21" x14ac:dyDescent="0.35">
      <c r="Q61" s="175"/>
    </row>
    <row r="62" spans="2:21" x14ac:dyDescent="0.35">
      <c r="Q62" s="175"/>
    </row>
    <row r="63" spans="2:21" x14ac:dyDescent="0.35">
      <c r="Q63" s="175"/>
    </row>
    <row r="64" spans="2:21" x14ac:dyDescent="0.35">
      <c r="Q64" s="175"/>
    </row>
  </sheetData>
  <mergeCells count="8">
    <mergeCell ref="F49:F50"/>
    <mergeCell ref="T29:V29"/>
    <mergeCell ref="C29:D29"/>
    <mergeCell ref="E29:F29"/>
    <mergeCell ref="G29:H29"/>
    <mergeCell ref="J29:K29"/>
    <mergeCell ref="M29:N29"/>
    <mergeCell ref="P29:R29"/>
  </mergeCells>
  <dataValidations count="1">
    <dataValidation type="list" allowBlank="1" showInputMessage="1" showErrorMessage="1" sqref="B31:B44" xr:uid="{6311E9BD-0738-4956-A2A7-FEB374D48AAA}">
      <formula1>$B$15:$E$15</formula1>
    </dataValidation>
  </dataValidations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6CA3-E544-4C54-8025-48AC73B60DDF}">
  <sheetPr>
    <tabColor theme="5" tint="0.39997558519241921"/>
    <pageSetUpPr autoPageBreaks="0"/>
  </sheetPr>
  <dimension ref="A1:N37"/>
  <sheetViews>
    <sheetView topLeftCell="H13" zoomScale="115" zoomScaleNormal="115" workbookViewId="0">
      <selection activeCell="N28" sqref="N28"/>
    </sheetView>
  </sheetViews>
  <sheetFormatPr defaultRowHeight="14.5" outlineLevelRow="1" outlineLevelCol="1" x14ac:dyDescent="0.35"/>
  <cols>
    <col min="1" max="1" width="36.1796875" customWidth="1"/>
    <col min="2" max="2" width="10.453125" customWidth="1"/>
    <col min="3" max="3" width="18.7265625" customWidth="1"/>
    <col min="4" max="4" width="11.26953125" customWidth="1" outlineLevel="1"/>
    <col min="5" max="5" width="9.54296875" customWidth="1" outlineLevel="1"/>
    <col min="6" max="6" width="10.453125" customWidth="1"/>
    <col min="7" max="7" width="11.26953125" customWidth="1"/>
    <col min="8" max="8" width="11.1796875" customWidth="1"/>
    <col min="9" max="9" width="10.7265625" customWidth="1"/>
    <col min="11" max="14" width="12" customWidth="1"/>
  </cols>
  <sheetData>
    <row r="1" spans="1:14" x14ac:dyDescent="0.35">
      <c r="A1" s="174" t="s">
        <v>847</v>
      </c>
    </row>
    <row r="2" spans="1:14" x14ac:dyDescent="0.35">
      <c r="A2" t="s">
        <v>848</v>
      </c>
    </row>
    <row r="3" spans="1:14" x14ac:dyDescent="0.35">
      <c r="A3" s="251" t="s">
        <v>849</v>
      </c>
    </row>
    <row r="4" spans="1:14" x14ac:dyDescent="0.35">
      <c r="A4" s="469" t="s">
        <v>850</v>
      </c>
    </row>
    <row r="5" spans="1:14" x14ac:dyDescent="0.35">
      <c r="A5" s="469" t="s">
        <v>851</v>
      </c>
    </row>
    <row r="6" spans="1:14" x14ac:dyDescent="0.35">
      <c r="A6" s="469" t="s">
        <v>852</v>
      </c>
    </row>
    <row r="7" spans="1:14" x14ac:dyDescent="0.35">
      <c r="A7" s="469" t="s">
        <v>853</v>
      </c>
    </row>
    <row r="8" spans="1:14" s="288" customFormat="1" x14ac:dyDescent="0.35">
      <c r="A8" s="469" t="s">
        <v>854</v>
      </c>
      <c r="B8"/>
      <c r="C8"/>
      <c r="D8"/>
      <c r="E8"/>
      <c r="F8"/>
      <c r="G8"/>
    </row>
    <row r="9" spans="1:14" x14ac:dyDescent="0.35">
      <c r="A9" s="251" t="s">
        <v>855</v>
      </c>
    </row>
    <row r="11" spans="1:14" x14ac:dyDescent="0.35">
      <c r="A11" s="174"/>
      <c r="F11" s="174" t="s">
        <v>856</v>
      </c>
      <c r="K11" s="174" t="s">
        <v>857</v>
      </c>
    </row>
    <row r="12" spans="1:14" ht="14.65" customHeight="1" x14ac:dyDescent="0.35">
      <c r="D12" s="1084" t="s">
        <v>834</v>
      </c>
      <c r="E12" s="1085"/>
      <c r="F12" s="1077" t="s">
        <v>858</v>
      </c>
      <c r="G12" s="1080"/>
      <c r="H12" s="1077" t="s">
        <v>859</v>
      </c>
      <c r="I12" s="1080"/>
      <c r="K12" s="1077" t="s">
        <v>858</v>
      </c>
      <c r="L12" s="1080"/>
      <c r="M12" s="1077" t="s">
        <v>859</v>
      </c>
      <c r="N12" s="1080"/>
    </row>
    <row r="13" spans="1:14" ht="48.5" x14ac:dyDescent="0.35">
      <c r="A13" s="539" t="s">
        <v>593</v>
      </c>
      <c r="B13" s="938" t="s">
        <v>860</v>
      </c>
      <c r="C13" s="540" t="s">
        <v>861</v>
      </c>
      <c r="D13" s="941" t="s">
        <v>1243</v>
      </c>
      <c r="E13" s="941" t="s">
        <v>1242</v>
      </c>
      <c r="F13" s="942" t="s">
        <v>1243</v>
      </c>
      <c r="G13" s="942" t="s">
        <v>1242</v>
      </c>
      <c r="H13" s="541" t="s">
        <v>862</v>
      </c>
      <c r="I13" s="542" t="s">
        <v>863</v>
      </c>
      <c r="K13" s="543" t="s">
        <v>1297</v>
      </c>
      <c r="L13" s="543" t="s">
        <v>865</v>
      </c>
      <c r="M13" s="543" t="s">
        <v>864</v>
      </c>
      <c r="N13" s="543" t="s">
        <v>866</v>
      </c>
    </row>
    <row r="14" spans="1:14" x14ac:dyDescent="0.35">
      <c r="A14" s="476" t="s">
        <v>1152</v>
      </c>
      <c r="B14" s="544">
        <f ca="1">IFERROR(VLOOKUP(A14,'4.2 output - HCP Consumer $'!A:K,11, FALSE),"-")</f>
        <v>6.6037998083656717</v>
      </c>
      <c r="C14" s="972" t="str">
        <f>VLOOKUP(A14,'4.2 output - HCP Consumer $'!A:N,14, FALSE)</f>
        <v>-</v>
      </c>
      <c r="D14" s="517">
        <f>VLOOKUP($A14,histsplit2,'Historical Splits'!$W$7,FALSE)</f>
        <v>0.34042912210792731</v>
      </c>
      <c r="E14" s="517">
        <f>VLOOKUP($A14,histsplit2,'Historical Splits'!$X$7,FALSE)</f>
        <v>0.65957087789207269</v>
      </c>
      <c r="F14" s="544">
        <f ca="1">$D14*B14</f>
        <v>2.2481257713384242</v>
      </c>
      <c r="G14" s="546">
        <f ca="1">+B14*E14</f>
        <v>4.3556740370272475</v>
      </c>
      <c r="H14" s="544" t="e">
        <f t="shared" ref="H14:H26" si="0">$D14*C14</f>
        <v>#VALUE!</v>
      </c>
      <c r="I14" s="544" t="e">
        <f>#REF!*C14</f>
        <v>#REF!</v>
      </c>
      <c r="K14" s="547">
        <f ca="1">+G14-L14</f>
        <v>4.1992237234320848</v>
      </c>
      <c r="L14" s="547">
        <f ca="1">+G14*$H$32/SUM($H$31:$H$33)</f>
        <v>0.15645031359516251</v>
      </c>
      <c r="M14" s="547" t="e">
        <f t="shared" ref="M14:M26" si="1">+H14/$H$27*$H$29</f>
        <v>#VALUE!</v>
      </c>
      <c r="N14" s="547" t="e">
        <f>H14-M14</f>
        <v>#VALUE!</v>
      </c>
    </row>
    <row r="15" spans="1:14" x14ac:dyDescent="0.35">
      <c r="A15" s="476" t="s">
        <v>1147</v>
      </c>
      <c r="B15" s="544">
        <f ca="1">IFERROR(VLOOKUP(A15,'4.2 output - HCP Consumer $'!A:K,11, FALSE),"-")</f>
        <v>5.7919077329088253</v>
      </c>
      <c r="C15" s="972" t="str">
        <f>VLOOKUP(A15,'4.2 output - HCP Consumer $'!A:N,14, FALSE)</f>
        <v>-</v>
      </c>
      <c r="D15" s="545">
        <f>VLOOKUP($A15,histsplit2,'Historical Splits'!$W$7,FALSE)</f>
        <v>0</v>
      </c>
      <c r="E15" s="545">
        <f>VLOOKUP($A15,histsplit2,'Historical Splits'!$X$7,FALSE)</f>
        <v>1</v>
      </c>
      <c r="F15" s="544">
        <f t="shared" ref="F15:F26" ca="1" si="2">$D15*B15</f>
        <v>0</v>
      </c>
      <c r="G15" s="544">
        <f t="shared" ref="G15:G26" ca="1" si="3">+B15*E15</f>
        <v>5.7919077329088253</v>
      </c>
      <c r="H15" s="544" t="e">
        <f t="shared" si="0"/>
        <v>#VALUE!</v>
      </c>
      <c r="I15" s="544" t="e">
        <f>#REF!*C15</f>
        <v>#REF!</v>
      </c>
      <c r="K15" s="547">
        <f t="shared" ref="K15:K26" ca="1" si="4">+G15-L15</f>
        <v>5.5838697177991641</v>
      </c>
      <c r="L15" s="547">
        <f t="shared" ref="L15:L26" ca="1" si="5">+G15*$H$32/SUM($H$31:$H$33)</f>
        <v>0.20803801510966094</v>
      </c>
      <c r="M15" s="547" t="e">
        <f t="shared" si="1"/>
        <v>#VALUE!</v>
      </c>
      <c r="N15" s="547" t="e">
        <f t="shared" ref="N15:N26" si="6">H15-M15</f>
        <v>#VALUE!</v>
      </c>
    </row>
    <row r="16" spans="1:14" x14ac:dyDescent="0.35">
      <c r="A16" s="476" t="s">
        <v>1146</v>
      </c>
      <c r="B16" s="544">
        <f ca="1">IFERROR(VLOOKUP(A16,'4.2 output - HCP Consumer $'!A:K,11, FALSE),"-")</f>
        <v>12.604765761642042</v>
      </c>
      <c r="C16" s="972" t="str">
        <f>VLOOKUP(A16,'4.2 output - HCP Consumer $'!A:N,14, FALSE)</f>
        <v>-</v>
      </c>
      <c r="D16" s="517">
        <f>VLOOKUP($A16,histsplit2,'Historical Splits'!$W$7,FALSE)</f>
        <v>0.34321871148135746</v>
      </c>
      <c r="E16" s="517">
        <f>VLOOKUP($A16,histsplit2,'Historical Splits'!$X$7,FALSE)</f>
        <v>0.65678128851864259</v>
      </c>
      <c r="F16" s="544">
        <f t="shared" ca="1" si="2"/>
        <v>4.3261914632351131</v>
      </c>
      <c r="G16" s="544">
        <f t="shared" ca="1" si="3"/>
        <v>8.2785742984069302</v>
      </c>
      <c r="H16" s="544" t="e">
        <f t="shared" si="0"/>
        <v>#VALUE!</v>
      </c>
      <c r="I16" s="544" t="e">
        <f>#REF!*C16</f>
        <v>#REF!</v>
      </c>
      <c r="K16" s="547">
        <f t="shared" ca="1" si="4"/>
        <v>7.9812183589825505</v>
      </c>
      <c r="L16" s="547">
        <f t="shared" ca="1" si="5"/>
        <v>0.29735593942437949</v>
      </c>
      <c r="M16" s="547" t="e">
        <f t="shared" si="1"/>
        <v>#VALUE!</v>
      </c>
      <c r="N16" s="547" t="e">
        <f t="shared" si="6"/>
        <v>#VALUE!</v>
      </c>
    </row>
    <row r="17" spans="1:14" x14ac:dyDescent="0.35">
      <c r="A17" s="476" t="s">
        <v>1148</v>
      </c>
      <c r="B17" s="544">
        <f ca="1">IFERROR(VLOOKUP(A17,'4.2 output - HCP Consumer $'!A:K,11, FALSE),"-")</f>
        <v>5.807160832834148</v>
      </c>
      <c r="C17" s="972" t="str">
        <f>VLOOKUP(A17,'4.2 output - HCP Consumer $'!A:N,14, FALSE)</f>
        <v>-</v>
      </c>
      <c r="D17" s="517">
        <f>VLOOKUP($A17,histsplit2,'Historical Splits'!$W$7,FALSE)</f>
        <v>0.47202862163393239</v>
      </c>
      <c r="E17" s="517">
        <f>VLOOKUP($A17,histsplit2,'Historical Splits'!$X$7,FALSE)</f>
        <v>0.52797137836606756</v>
      </c>
      <c r="F17" s="544">
        <f t="shared" ca="1" si="2"/>
        <v>2.7411461235292616</v>
      </c>
      <c r="G17" s="544">
        <f t="shared" ca="1" si="3"/>
        <v>3.066014709304886</v>
      </c>
      <c r="H17" s="544" t="e">
        <f t="shared" si="0"/>
        <v>#VALUE!</v>
      </c>
      <c r="I17" s="544" t="e">
        <f>#REF!*C17</f>
        <v>#REF!</v>
      </c>
      <c r="K17" s="547">
        <f t="shared" ca="1" si="4"/>
        <v>2.9558873309289062</v>
      </c>
      <c r="L17" s="547">
        <f t="shared" ca="1" si="5"/>
        <v>0.11012737837597963</v>
      </c>
      <c r="M17" s="547" t="e">
        <f t="shared" si="1"/>
        <v>#VALUE!</v>
      </c>
      <c r="N17" s="547" t="e">
        <f t="shared" si="6"/>
        <v>#VALUE!</v>
      </c>
    </row>
    <row r="18" spans="1:14" x14ac:dyDescent="0.35">
      <c r="A18" s="476" t="s">
        <v>1143</v>
      </c>
      <c r="B18" s="544">
        <f ca="1">IFERROR(VLOOKUP(A18,'4.2 output - HCP Consumer $'!A:K,11, FALSE),"-")</f>
        <v>16.624958560325865</v>
      </c>
      <c r="C18" s="972" t="str">
        <f>VLOOKUP(A18,'4.2 output - HCP Consumer $'!A:N,14, FALSE)</f>
        <v>-</v>
      </c>
      <c r="D18" s="517">
        <f>VLOOKUP($A18,histsplit2,'Historical Splits'!$W$7,FALSE)</f>
        <v>0.44111456384380582</v>
      </c>
      <c r="E18" s="517">
        <f>VLOOKUP($A18,histsplit2,'Historical Splits'!$X$7,FALSE)</f>
        <v>0.55888543615619413</v>
      </c>
      <c r="F18" s="544">
        <f t="shared" ca="1" si="2"/>
        <v>7.3335113442594899</v>
      </c>
      <c r="G18" s="544">
        <f t="shared" ca="1" si="3"/>
        <v>9.2914472160663735</v>
      </c>
      <c r="H18" s="544" t="e">
        <f t="shared" si="0"/>
        <v>#VALUE!</v>
      </c>
      <c r="I18" s="544" t="e">
        <f>#REF!*C18</f>
        <v>#REF!</v>
      </c>
      <c r="K18" s="547">
        <f t="shared" ca="1" si="4"/>
        <v>8.9577101599071849</v>
      </c>
      <c r="L18" s="547">
        <f t="shared" ca="1" si="5"/>
        <v>0.33373705615918897</v>
      </c>
      <c r="M18" s="547" t="e">
        <f t="shared" si="1"/>
        <v>#VALUE!</v>
      </c>
      <c r="N18" s="547" t="e">
        <f t="shared" si="6"/>
        <v>#VALUE!</v>
      </c>
    </row>
    <row r="19" spans="1:14" x14ac:dyDescent="0.35">
      <c r="A19" s="476" t="s">
        <v>1134</v>
      </c>
      <c r="B19" s="544">
        <f ca="1">IFERROR(VLOOKUP(A19,'4.2 output - HCP Consumer $'!A:K,11, FALSE),"-")</f>
        <v>3.1337924240518298</v>
      </c>
      <c r="C19" s="972" t="str">
        <f>VLOOKUP(A19,'4.2 output - HCP Consumer $'!A:N,14, FALSE)</f>
        <v>-</v>
      </c>
      <c r="D19" s="517">
        <f>+D25</f>
        <v>0.23689336475014641</v>
      </c>
      <c r="E19" s="517">
        <f>+E25</f>
        <v>0.76310663524985367</v>
      </c>
      <c r="F19" s="544">
        <f t="shared" ca="1" si="2"/>
        <v>0.74237463176215557</v>
      </c>
      <c r="G19" s="544">
        <f t="shared" ca="1" si="3"/>
        <v>2.3914177922896744</v>
      </c>
      <c r="H19" s="544" t="e">
        <f t="shared" si="0"/>
        <v>#VALUE!</v>
      </c>
      <c r="I19" s="544" t="e">
        <f>#REF!*C19</f>
        <v>#REF!</v>
      </c>
      <c r="K19" s="547">
        <f t="shared" ca="1" si="4"/>
        <v>2.3055210836837841</v>
      </c>
      <c r="L19" s="547">
        <f t="shared" ca="1" si="5"/>
        <v>8.5896708605890174E-2</v>
      </c>
      <c r="M19" s="547" t="e">
        <f t="shared" si="1"/>
        <v>#VALUE!</v>
      </c>
      <c r="N19" s="547" t="e">
        <f t="shared" si="6"/>
        <v>#VALUE!</v>
      </c>
    </row>
    <row r="20" spans="1:14" x14ac:dyDescent="0.35">
      <c r="A20" s="476" t="s">
        <v>1138</v>
      </c>
      <c r="B20" s="544">
        <f ca="1">IFERROR(VLOOKUP(A20,'4.2 output - HCP Consumer $'!A:K,11, FALSE),"-")</f>
        <v>10.960874222305753</v>
      </c>
      <c r="C20" s="972" t="str">
        <f>VLOOKUP(A20,'4.2 output - HCP Consumer $'!A:N,14, FALSE)</f>
        <v>-</v>
      </c>
      <c r="D20" s="517">
        <f>+D25</f>
        <v>0.23689336475014641</v>
      </c>
      <c r="E20" s="517">
        <f>+E25</f>
        <v>0.76310663524985367</v>
      </c>
      <c r="F20" s="544">
        <f t="shared" ca="1" si="2"/>
        <v>2.596558375125154</v>
      </c>
      <c r="G20" s="544">
        <f t="shared" ca="1" si="3"/>
        <v>8.364315847180599</v>
      </c>
      <c r="H20" s="544" t="e">
        <f t="shared" si="0"/>
        <v>#VALUE!</v>
      </c>
      <c r="I20" s="544" t="e">
        <f>#REF!*C20</f>
        <v>#REF!</v>
      </c>
      <c r="K20" s="547">
        <f t="shared" ca="1" si="4"/>
        <v>8.063880179548887</v>
      </c>
      <c r="L20" s="547">
        <f t="shared" ca="1" si="5"/>
        <v>0.30043566763171126</v>
      </c>
      <c r="M20" s="547" t="e">
        <f t="shared" si="1"/>
        <v>#VALUE!</v>
      </c>
      <c r="N20" s="547" t="e">
        <f t="shared" si="6"/>
        <v>#VALUE!</v>
      </c>
    </row>
    <row r="21" spans="1:14" x14ac:dyDescent="0.35">
      <c r="A21" s="476" t="s">
        <v>1133</v>
      </c>
      <c r="B21" s="544">
        <f ca="1">IFERROR(VLOOKUP(A21,'4.2 output - HCP Consumer $'!A:K,11, FALSE),"-")</f>
        <v>16.840677547635515</v>
      </c>
      <c r="C21" s="972" t="str">
        <f>VLOOKUP(A21,'4.2 output - HCP Consumer $'!A:N,14, FALSE)</f>
        <v>-</v>
      </c>
      <c r="D21" s="517">
        <f>VLOOKUP($A21,histsplit2,'Historical Splits'!$W$7,FALSE)</f>
        <v>0.31242186737067978</v>
      </c>
      <c r="E21" s="517">
        <f>VLOOKUP($A21,histsplit2,'Historical Splits'!$X$7,FALSE)</f>
        <v>0.6875781326293201</v>
      </c>
      <c r="F21" s="544">
        <f t="shared" ca="1" si="2"/>
        <v>5.2613959272197679</v>
      </c>
      <c r="G21" s="544">
        <f t="shared" ca="1" si="3"/>
        <v>11.579281620415745</v>
      </c>
      <c r="H21" s="544" t="e">
        <f t="shared" si="0"/>
        <v>#VALUE!</v>
      </c>
      <c r="I21" s="544" t="e">
        <f>#REF!*C21</f>
        <v>#REF!</v>
      </c>
      <c r="K21" s="547">
        <f t="shared" ca="1" si="4"/>
        <v>11.163368440200554</v>
      </c>
      <c r="L21" s="547">
        <f t="shared" ca="1" si="5"/>
        <v>0.41591318021519169</v>
      </c>
      <c r="M21" s="547" t="e">
        <f t="shared" si="1"/>
        <v>#VALUE!</v>
      </c>
      <c r="N21" s="547" t="e">
        <f t="shared" si="6"/>
        <v>#VALUE!</v>
      </c>
    </row>
    <row r="22" spans="1:14" x14ac:dyDescent="0.35">
      <c r="A22" s="476" t="s">
        <v>1136</v>
      </c>
      <c r="B22" s="544">
        <f ca="1">IFERROR(VLOOKUP(A22,'4.2 output - HCP Consumer $'!A:K,11, FALSE),"-")</f>
        <v>6.5694026144305973</v>
      </c>
      <c r="C22" s="972" t="str">
        <f>VLOOKUP(A22,'4.2 output - HCP Consumer $'!A:N,14, FALSE)</f>
        <v>-</v>
      </c>
      <c r="D22" s="517">
        <f>VLOOKUP($A22,histsplit2,'Historical Splits'!$W$7,FALSE)</f>
        <v>0.42642939664517304</v>
      </c>
      <c r="E22" s="517">
        <f>VLOOKUP($A22,histsplit2,'Historical Splits'!$X$7,FALSE)</f>
        <v>0.57357060335482701</v>
      </c>
      <c r="F22" s="544">
        <f t="shared" ca="1" si="2"/>
        <v>2.801386393190862</v>
      </c>
      <c r="G22" s="544">
        <f t="shared" ca="1" si="3"/>
        <v>3.7680162212397357</v>
      </c>
      <c r="H22" s="544" t="e">
        <f t="shared" si="0"/>
        <v>#VALUE!</v>
      </c>
      <c r="I22" s="544" t="e">
        <f>#REF!*C22</f>
        <v>#REF!</v>
      </c>
      <c r="K22" s="547">
        <f t="shared" ca="1" si="4"/>
        <v>3.6326738346347556</v>
      </c>
      <c r="L22" s="547">
        <f t="shared" ca="1" si="5"/>
        <v>0.13534238660498005</v>
      </c>
      <c r="M22" s="547" t="e">
        <f t="shared" si="1"/>
        <v>#VALUE!</v>
      </c>
      <c r="N22" s="547" t="e">
        <f t="shared" si="6"/>
        <v>#VALUE!</v>
      </c>
    </row>
    <row r="23" spans="1:14" x14ac:dyDescent="0.35">
      <c r="A23" s="476" t="s">
        <v>1142</v>
      </c>
      <c r="B23" s="544">
        <f ca="1">IFERROR(VLOOKUP(A23,'4.2 output - HCP Consumer $'!A:K,11, FALSE),"-")</f>
        <v>1.2365613492348646</v>
      </c>
      <c r="C23" s="972" t="str">
        <f>VLOOKUP(A23,'4.2 output - HCP Consumer $'!A:N,14, FALSE)</f>
        <v>-</v>
      </c>
      <c r="D23" s="517">
        <f>VLOOKUP($A23,histsplit2,'Historical Splits'!$W$7,FALSE)</f>
        <v>0.38149630896938669</v>
      </c>
      <c r="E23" s="517">
        <f>VLOOKUP($A23,histsplit2,'Historical Splits'!$X$7,FALSE)</f>
        <v>0.61850369103061331</v>
      </c>
      <c r="F23" s="544">
        <f t="shared" ca="1" si="2"/>
        <v>0.47174359054730558</v>
      </c>
      <c r="G23" s="544">
        <f t="shared" ca="1" si="3"/>
        <v>0.76481775868755897</v>
      </c>
      <c r="H23" s="544" t="e">
        <f t="shared" si="0"/>
        <v>#VALUE!</v>
      </c>
      <c r="I23" s="544" t="e">
        <f>#REF!*C23</f>
        <v>#REF!</v>
      </c>
      <c r="K23" s="547">
        <f t="shared" ca="1" si="4"/>
        <v>0.7373464701630662</v>
      </c>
      <c r="L23" s="547">
        <f t="shared" ca="1" si="5"/>
        <v>2.7471288524492817E-2</v>
      </c>
      <c r="M23" s="547" t="e">
        <f t="shared" si="1"/>
        <v>#VALUE!</v>
      </c>
      <c r="N23" s="547" t="e">
        <f t="shared" si="6"/>
        <v>#VALUE!</v>
      </c>
    </row>
    <row r="24" spans="1:14" x14ac:dyDescent="0.35">
      <c r="A24" s="476" t="s">
        <v>1145</v>
      </c>
      <c r="B24" s="544">
        <f ca="1">IFERROR(VLOOKUP(A24,'4.2 output - HCP Consumer $'!A:K,11, FALSE),"-")</f>
        <v>35.884879247296659</v>
      </c>
      <c r="C24" s="972" t="str">
        <f>VLOOKUP(A24,'4.2 output - HCP Consumer $'!A:N,14, FALSE)</f>
        <v>-</v>
      </c>
      <c r="D24" s="517">
        <f>VLOOKUP($A24,histsplit2,'Historical Splits'!$W$7,FALSE)</f>
        <v>0.44577484610735169</v>
      </c>
      <c r="E24" s="517">
        <f>VLOOKUP($A24,histsplit2,'Historical Splits'!$X$7,FALSE)</f>
        <v>0.55422515389264837</v>
      </c>
      <c r="F24" s="544">
        <f t="shared" ca="1" si="2"/>
        <v>15.996576524044567</v>
      </c>
      <c r="G24" s="544">
        <f t="shared" ca="1" si="3"/>
        <v>19.888302723252096</v>
      </c>
      <c r="H24" s="544" t="e">
        <f t="shared" si="0"/>
        <v>#VALUE!</v>
      </c>
      <c r="I24" s="544" t="e">
        <f>#REF!*C24</f>
        <v>#REF!</v>
      </c>
      <c r="K24" s="547">
        <f t="shared" ca="1" si="4"/>
        <v>19.173939992827957</v>
      </c>
      <c r="L24" s="547">
        <f t="shared" ca="1" si="5"/>
        <v>0.71436273042413856</v>
      </c>
      <c r="M24" s="547" t="e">
        <f t="shared" si="1"/>
        <v>#VALUE!</v>
      </c>
      <c r="N24" s="547" t="e">
        <f t="shared" si="6"/>
        <v>#VALUE!</v>
      </c>
    </row>
    <row r="25" spans="1:14" x14ac:dyDescent="0.35">
      <c r="A25" s="476" t="s">
        <v>1150</v>
      </c>
      <c r="B25" s="544">
        <f ca="1">IFERROR(VLOOKUP(A25,'4.2 output - HCP Consumer $'!A:K,11, FALSE),"-")</f>
        <v>5.4811996443500055</v>
      </c>
      <c r="C25" s="972" t="str">
        <f>VLOOKUP(A25,'4.2 output - HCP Consumer $'!A:N,14, FALSE)</f>
        <v>-</v>
      </c>
      <c r="D25" s="517">
        <f>VLOOKUP($A25,histsplit2,'Historical Splits'!$W$7,FALSE)</f>
        <v>0.23689336475014641</v>
      </c>
      <c r="E25" s="517">
        <f>VLOOKUP($A25,histsplit2,'Historical Splits'!$X$7,FALSE)</f>
        <v>0.76310663524985367</v>
      </c>
      <c r="F25" s="544">
        <f t="shared" ca="1" si="2"/>
        <v>1.2984598266173786</v>
      </c>
      <c r="G25" s="544">
        <f t="shared" ca="1" si="3"/>
        <v>4.1827398177326272</v>
      </c>
      <c r="H25" s="544" t="e">
        <f t="shared" si="0"/>
        <v>#VALUE!</v>
      </c>
      <c r="I25" s="544" t="e">
        <f>#REF!*C25</f>
        <v>#REF!</v>
      </c>
      <c r="K25" s="547">
        <f t="shared" ca="1" si="4"/>
        <v>4.0325010830136572</v>
      </c>
      <c r="L25" s="547">
        <f t="shared" ca="1" si="5"/>
        <v>0.15023873471897015</v>
      </c>
      <c r="M25" s="547" t="e">
        <f t="shared" si="1"/>
        <v>#VALUE!</v>
      </c>
      <c r="N25" s="547" t="e">
        <f t="shared" si="6"/>
        <v>#VALUE!</v>
      </c>
    </row>
    <row r="26" spans="1:14" outlineLevel="1" x14ac:dyDescent="0.35">
      <c r="A26" s="476" t="s">
        <v>1144</v>
      </c>
      <c r="B26" s="544">
        <f ca="1">IFERROR(VLOOKUP(A26,'4.2 output - HCP Consumer $'!A:K,11, FALSE),"-")</f>
        <v>8.5277532002371874</v>
      </c>
      <c r="C26" s="972" t="str">
        <f>VLOOKUP(A26,'4.2 output - HCP Consumer $'!A:N,14, FALSE)</f>
        <v>-</v>
      </c>
      <c r="D26" s="517">
        <f>VLOOKUP($A26,histsplit2,'Historical Splits'!$W$7,FALSE)</f>
        <v>0.3753949234087241</v>
      </c>
      <c r="E26" s="517">
        <f>VLOOKUP($A26,histsplit2,'Historical Splits'!$X$7,FALSE)</f>
        <v>0.62460507659127595</v>
      </c>
      <c r="F26" s="544">
        <f t="shared" ca="1" si="2"/>
        <v>3.201275259451541</v>
      </c>
      <c r="G26" s="544">
        <f t="shared" ca="1" si="3"/>
        <v>5.3264779407856473</v>
      </c>
      <c r="H26" s="544" t="e">
        <f t="shared" si="0"/>
        <v>#VALUE!</v>
      </c>
      <c r="I26" s="544" t="e">
        <f>#REF!*C26</f>
        <v>#REF!</v>
      </c>
      <c r="K26" s="547">
        <f t="shared" ca="1" si="4"/>
        <v>5.1351575763346888</v>
      </c>
      <c r="L26" s="547">
        <f t="shared" ca="1" si="5"/>
        <v>0.19132036445095835</v>
      </c>
      <c r="M26" s="547" t="e">
        <f t="shared" si="1"/>
        <v>#VALUE!</v>
      </c>
      <c r="N26" s="547" t="e">
        <f t="shared" si="6"/>
        <v>#VALUE!</v>
      </c>
    </row>
    <row r="27" spans="1:14" x14ac:dyDescent="0.35">
      <c r="A27" s="526" t="s">
        <v>589</v>
      </c>
      <c r="B27" s="544">
        <f ca="1">SUM(B14:B26)</f>
        <v>136.06773294561896</v>
      </c>
      <c r="C27" s="544">
        <f>VLOOKUP(A27,'4.2 output - HCP Consumer $'!A:N,14, FALSE)</f>
        <v>0</v>
      </c>
      <c r="D27" s="548"/>
      <c r="E27" s="548"/>
      <c r="F27" s="544">
        <f ca="1">SUM(F14:F26)</f>
        <v>49.018745230321016</v>
      </c>
      <c r="G27" s="544">
        <f ca="1">SUM(G14:G26)</f>
        <v>87.04898771529794</v>
      </c>
      <c r="H27" s="544" t="e">
        <f>SUM(H14:H24,H26:H26)</f>
        <v>#VALUE!</v>
      </c>
      <c r="I27" s="544" t="e">
        <f>SUM(I14:I24,I26:I26)</f>
        <v>#REF!</v>
      </c>
      <c r="K27" s="549">
        <f ca="1">SUM(K14:K26)</f>
        <v>83.922297951457253</v>
      </c>
      <c r="L27" s="550">
        <f ca="1">SUM(L14:L26)</f>
        <v>3.1266897638407043</v>
      </c>
      <c r="M27" s="549" t="e">
        <f>SUM(M14:M26)</f>
        <v>#VALUE!</v>
      </c>
      <c r="N27" s="550" t="e">
        <f>SUM(N14:N26)</f>
        <v>#VALUE!</v>
      </c>
    </row>
    <row r="28" spans="1:14" x14ac:dyDescent="0.35">
      <c r="K28" s="288"/>
      <c r="L28" s="288"/>
      <c r="M28" s="288"/>
      <c r="N28" s="288"/>
    </row>
    <row r="29" spans="1:14" x14ac:dyDescent="0.35">
      <c r="C29" s="1087" t="s">
        <v>1239</v>
      </c>
      <c r="D29" s="1087"/>
      <c r="E29" s="1086" t="s">
        <v>1241</v>
      </c>
      <c r="F29" s="1086"/>
      <c r="G29" s="1088" t="s">
        <v>1241</v>
      </c>
      <c r="H29" s="1088"/>
    </row>
    <row r="30" spans="1:14" x14ac:dyDescent="0.35">
      <c r="C30" s="1087"/>
      <c r="D30" s="1087"/>
      <c r="E30" s="1086" t="s">
        <v>1246</v>
      </c>
      <c r="F30" s="1086"/>
      <c r="G30" s="1088" t="s">
        <v>1247</v>
      </c>
      <c r="H30" s="1088"/>
    </row>
    <row r="31" spans="1:14" x14ac:dyDescent="0.35">
      <c r="A31" s="939" t="s">
        <v>441</v>
      </c>
      <c r="C31" s="175">
        <f>+'Historical Splits'!C53/1000000</f>
        <v>71.623276000000004</v>
      </c>
      <c r="D31" s="551">
        <f>+C31/C$35</f>
        <v>0.57732364209336773</v>
      </c>
      <c r="F31" s="933">
        <f ca="1">+D31*$F$35</f>
        <v>78.555119155552461</v>
      </c>
      <c r="H31" s="933">
        <f ca="1">+D31/SUM(D$31:D$33)*G$27</f>
        <v>81.168453759310466</v>
      </c>
      <c r="J31" s="175"/>
    </row>
    <row r="32" spans="1:14" x14ac:dyDescent="0.35">
      <c r="A32" s="939" t="s">
        <v>1126</v>
      </c>
      <c r="C32" s="175">
        <f>+'Historical Splits'!E53/1000000</f>
        <v>2.7589999999999999</v>
      </c>
      <c r="D32" s="551">
        <f t="shared" ref="D32:D34" si="7">+C32/C$35</f>
        <v>2.2239082285702785E-2</v>
      </c>
      <c r="F32" s="933">
        <f ca="1">+D32*$F$35</f>
        <v>3.0260215094066516</v>
      </c>
      <c r="H32" s="933">
        <f ca="1">+D32/SUM(D$31:D$33)*G$27</f>
        <v>3.1266897638407039</v>
      </c>
    </row>
    <row r="33" spans="1:9" x14ac:dyDescent="0.35">
      <c r="A33" s="939" t="s">
        <v>1125</v>
      </c>
      <c r="C33" s="175">
        <f>+'Historical Splits'!D53/1000000</f>
        <v>2.4300000000000002</v>
      </c>
      <c r="D33" s="551">
        <f t="shared" si="7"/>
        <v>1.9587158374141999E-2</v>
      </c>
      <c r="F33" s="933">
        <f ca="1">+D33*$F$35</f>
        <v>2.6651802348162974</v>
      </c>
      <c r="H33" s="933">
        <f ca="1">+D33/SUM(D$31:D$33)*G$27</f>
        <v>2.7538441921467602</v>
      </c>
    </row>
    <row r="34" spans="1:9" x14ac:dyDescent="0.35">
      <c r="A34" s="939" t="s">
        <v>1240</v>
      </c>
      <c r="C34" s="175">
        <f>+'Historical Splits'!G53/1000000</f>
        <v>47.248598659999999</v>
      </c>
      <c r="D34" s="551">
        <f t="shared" si="7"/>
        <v>0.38085011724678741</v>
      </c>
      <c r="F34" s="933">
        <f ca="1">+D34*$F$35</f>
        <v>51.821412045843537</v>
      </c>
      <c r="H34" s="995">
        <f ca="1">+F27</f>
        <v>49.018745230321016</v>
      </c>
      <c r="I34" s="996" t="s">
        <v>1293</v>
      </c>
    </row>
    <row r="35" spans="1:9" x14ac:dyDescent="0.35">
      <c r="A35" s="939" t="s">
        <v>589</v>
      </c>
      <c r="C35" s="175">
        <f>SUM(C31:C34)</f>
        <v>124.06087466000001</v>
      </c>
      <c r="D35" s="932">
        <f>SUM(D31:D34)</f>
        <v>1</v>
      </c>
      <c r="F35" s="940">
        <f ca="1">+B27</f>
        <v>136.06773294561896</v>
      </c>
      <c r="H35" s="940">
        <f ca="1">+F35</f>
        <v>136.06773294561896</v>
      </c>
    </row>
    <row r="37" spans="1:9" x14ac:dyDescent="0.35">
      <c r="F37" s="933">
        <f ca="1">+F34/F35</f>
        <v>0.38085011724678741</v>
      </c>
      <c r="H37" s="933"/>
    </row>
  </sheetData>
  <mergeCells count="10">
    <mergeCell ref="E29:F29"/>
    <mergeCell ref="C29:D30"/>
    <mergeCell ref="E30:F30"/>
    <mergeCell ref="G29:H29"/>
    <mergeCell ref="G30:H30"/>
    <mergeCell ref="D12:E12"/>
    <mergeCell ref="F12:G12"/>
    <mergeCell ref="H12:I12"/>
    <mergeCell ref="K12:L12"/>
    <mergeCell ref="M12:N12"/>
  </mergeCell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947F-09B2-49FA-A3BC-4B7A24C0B3EF}">
  <sheetPr>
    <tabColor theme="7" tint="0.59999389629810485"/>
  </sheetPr>
  <dimension ref="B1:O52"/>
  <sheetViews>
    <sheetView topLeftCell="B4" zoomScale="115" zoomScaleNormal="115" workbookViewId="0">
      <pane xSplit="1" ySplit="1" topLeftCell="C5" activePane="bottomRight" state="frozen"/>
      <selection activeCell="B4" sqref="B4"/>
      <selection pane="topRight" activeCell="C4" sqref="C4"/>
      <selection pane="bottomLeft" activeCell="B5" sqref="B5"/>
      <selection pane="bottomRight" activeCell="E23" sqref="E23"/>
    </sheetView>
  </sheetViews>
  <sheetFormatPr defaultRowHeight="14.5" x14ac:dyDescent="0.35"/>
  <cols>
    <col min="1" max="1" width="4" style="4" customWidth="1"/>
    <col min="2" max="2" width="38.1796875" style="4" bestFit="1" customWidth="1"/>
    <col min="3" max="3" width="9.1796875" style="4" customWidth="1"/>
    <col min="4" max="4" width="8.6328125" style="4" customWidth="1"/>
    <col min="5" max="5" width="8.90625" style="4" customWidth="1"/>
    <col min="6" max="6" width="7.36328125" style="4" customWidth="1"/>
    <col min="7" max="7" width="10.6328125" style="4" customWidth="1"/>
    <col min="8" max="8" width="8.7265625" style="4" customWidth="1"/>
    <col min="9" max="9" width="8.26953125" style="4" customWidth="1"/>
    <col min="10" max="10" width="8.1796875" style="4" customWidth="1"/>
    <col min="11" max="11" width="13.7265625" style="4" hidden="1" customWidth="1"/>
    <col min="12" max="12" width="8.1796875" style="4" customWidth="1"/>
    <col min="13" max="13" width="10" style="4" hidden="1" customWidth="1"/>
    <col min="14" max="14" width="15.36328125" style="4" customWidth="1"/>
    <col min="15" max="15" width="11.453125" style="4" customWidth="1"/>
    <col min="16" max="16384" width="8.7265625" style="4"/>
  </cols>
  <sheetData>
    <row r="1" spans="2:15" ht="15" thickBot="1" x14ac:dyDescent="0.4"/>
    <row r="2" spans="2:15" ht="15" thickBot="1" x14ac:dyDescent="0.4">
      <c r="B2" s="1092" t="s">
        <v>1253</v>
      </c>
      <c r="C2" s="1093"/>
      <c r="D2" s="1093"/>
      <c r="E2" s="1093"/>
      <c r="F2" s="1093"/>
      <c r="G2" s="1093"/>
      <c r="H2" s="1093"/>
      <c r="I2" s="1094"/>
    </row>
    <row r="3" spans="2:15" x14ac:dyDescent="0.35">
      <c r="B3" s="450"/>
      <c r="C3" s="1089" t="s">
        <v>779</v>
      </c>
      <c r="D3" s="1090" t="s">
        <v>1233</v>
      </c>
      <c r="E3" s="1090" t="s">
        <v>1233</v>
      </c>
      <c r="F3" s="1090" t="s">
        <v>1233</v>
      </c>
      <c r="G3" s="1090" t="s">
        <v>1233</v>
      </c>
      <c r="H3" s="1090" t="s">
        <v>1233</v>
      </c>
      <c r="I3" s="1091" t="s">
        <v>1233</v>
      </c>
    </row>
    <row r="4" spans="2:15" ht="29" customHeight="1" x14ac:dyDescent="0.35">
      <c r="B4" s="452" t="s">
        <v>593</v>
      </c>
      <c r="C4" s="453" t="s">
        <v>782</v>
      </c>
      <c r="D4" s="453" t="s">
        <v>783</v>
      </c>
      <c r="E4" s="453" t="s">
        <v>509</v>
      </c>
      <c r="F4" s="453" t="s">
        <v>454</v>
      </c>
      <c r="G4" s="453" t="s">
        <v>1236</v>
      </c>
      <c r="H4" s="453" t="s">
        <v>447</v>
      </c>
      <c r="I4" s="997" t="s">
        <v>1294</v>
      </c>
      <c r="J4" s="992" t="s">
        <v>1278</v>
      </c>
      <c r="K4" s="993" t="s">
        <v>1275</v>
      </c>
      <c r="L4" s="991" t="s">
        <v>1279</v>
      </c>
      <c r="M4" s="991" t="s">
        <v>1289</v>
      </c>
      <c r="N4" s="998" t="s">
        <v>1295</v>
      </c>
      <c r="O4" s="968"/>
    </row>
    <row r="5" spans="2:15" x14ac:dyDescent="0.35">
      <c r="B5" s="456" t="str">
        <f>+'4.1 Output - Key $ by Tumor'!A8</f>
        <v>PROMO-US-2024 KEYTRUDA GI</v>
      </c>
      <c r="C5" s="462">
        <f ca="1">+'4.1 Output - Key $ by Tumor'!B8</f>
        <v>6.6217757559783212</v>
      </c>
      <c r="D5" s="462">
        <f ca="1">+'4.1 Output - Key $ by Tumor'!C8</f>
        <v>5.2501000913530289</v>
      </c>
      <c r="E5" s="462">
        <f>+'4.1 Output - Key $ by Tumor'!D8</f>
        <v>1.9446682931506851</v>
      </c>
      <c r="F5" s="462">
        <f ca="1">+'4.1 Output - Key $ by Tumor'!E8</f>
        <v>6.8250377596153839</v>
      </c>
      <c r="G5" s="462">
        <f ca="1">+'4.1 Output - Key $ by Tumor'!F8</f>
        <v>4.7851950134831469</v>
      </c>
      <c r="H5" s="462">
        <f>+'4.1 Output - Key $ by Tumor'!G8</f>
        <v>4.6940941064128232</v>
      </c>
      <c r="I5" s="982">
        <f ca="1">SUM(C5:H5)</f>
        <v>30.120871019993388</v>
      </c>
      <c r="J5" s="983">
        <f>+I48</f>
        <v>38.166167385795553</v>
      </c>
      <c r="K5" s="986">
        <f ca="1">+I5/$I$23*$J$22</f>
        <v>25.642032644902613</v>
      </c>
      <c r="L5" s="994">
        <f>+'Historical Splits'!P17/1000000</f>
        <v>32.812986964445336</v>
      </c>
      <c r="M5" s="994">
        <f ca="1">+I5/$I$23*$L$22</f>
        <v>29.327850191525751</v>
      </c>
      <c r="N5" s="999"/>
      <c r="O5" s="969" t="s">
        <v>1276</v>
      </c>
    </row>
    <row r="6" spans="2:15" x14ac:dyDescent="0.35">
      <c r="B6" s="456" t="str">
        <f>+'4.1 Output - Key $ by Tumor'!A9</f>
        <v>PROMO-US-2024 KEYTRUDA CERVICAL</v>
      </c>
      <c r="C6" s="462">
        <f ca="1">+'4.1 Output - Key $ by Tumor'!B9</f>
        <v>1.2392056128178266</v>
      </c>
      <c r="D6" s="462">
        <f ca="1">+'4.1 Output - Key $ by Tumor'!C9</f>
        <v>2.7006291418918602</v>
      </c>
      <c r="E6" s="462">
        <f>+'4.1 Output - Key $ by Tumor'!D9</f>
        <v>0</v>
      </c>
      <c r="F6" s="462">
        <f ca="1">+'4.1 Output - Key $ by Tumor'!E9</f>
        <v>1.3650075519230767</v>
      </c>
      <c r="G6" s="462">
        <f ca="1">+'4.1 Output - Key $ by Tumor'!F9</f>
        <v>0.26584416741573047</v>
      </c>
      <c r="H6" s="462">
        <f>+'4.1 Output - Key $ by Tumor'!G9</f>
        <v>0</v>
      </c>
      <c r="I6" s="982">
        <f t="shared" ref="I6:I17" ca="1" si="0">SUM(C6:H6)</f>
        <v>5.570686474048494</v>
      </c>
      <c r="J6" s="984"/>
      <c r="K6" s="987"/>
      <c r="L6" s="990"/>
      <c r="M6" s="990"/>
      <c r="N6" s="1000"/>
    </row>
    <row r="7" spans="2:15" x14ac:dyDescent="0.35">
      <c r="B7" s="456" t="str">
        <f>+'4.1 Output - Key $ by Tumor'!A10</f>
        <v>PROMO-US-2024 KEYTRUDA H&amp;N</v>
      </c>
      <c r="C7" s="462">
        <f ca="1">+'4.1 Output - Key $ by Tumor'!B10</f>
        <v>4.5538887783011868</v>
      </c>
      <c r="D7" s="462">
        <f ca="1">+'4.1 Output - Key $ by Tumor'!C10</f>
        <v>3.0372678030152489</v>
      </c>
      <c r="E7" s="462">
        <f>+'4.1 Output - Key $ by Tumor'!D10</f>
        <v>1.6205569109589042</v>
      </c>
      <c r="F7" s="462">
        <f ca="1">+'4.1 Output - Key $ by Tumor'!E10</f>
        <v>0</v>
      </c>
      <c r="G7" s="462">
        <f ca="1">+'4.1 Output - Key $ by Tumor'!F10</f>
        <v>0.26584416741573047</v>
      </c>
      <c r="H7" s="462">
        <f>+'4.1 Output - Key $ by Tumor'!G10</f>
        <v>1.5805030661322637</v>
      </c>
      <c r="I7" s="982">
        <f t="shared" ca="1" si="0"/>
        <v>11.058060725823335</v>
      </c>
      <c r="J7" s="983">
        <f>+I37</f>
        <v>30.827145611563676</v>
      </c>
      <c r="K7" s="986">
        <f ca="1">+I7/$I$23*$J$22</f>
        <v>9.4137767109279196</v>
      </c>
      <c r="L7" s="994">
        <f>+'Historical Splits'!P18/1000000</f>
        <v>17.616169931079902</v>
      </c>
      <c r="M7" s="994">
        <f ca="1">+I7/$I$23*$L$22</f>
        <v>10.766924640408771</v>
      </c>
      <c r="N7" s="999"/>
      <c r="O7" s="969" t="s">
        <v>1276</v>
      </c>
    </row>
    <row r="8" spans="2:15" x14ac:dyDescent="0.35">
      <c r="B8" s="456" t="str">
        <f>+'4.1 Output - Key $ by Tumor'!A11</f>
        <v>PROMO-US-2024 KEYTRUDA ENDOMETRIAL</v>
      </c>
      <c r="C8" s="462">
        <f ca="1">+'4.1 Output - Key $ by Tumor'!B11</f>
        <v>3.1187798938464604</v>
      </c>
      <c r="D8" s="462">
        <f ca="1">+'4.1 Output - Key $ by Tumor'!C11</f>
        <v>7.1581292447080225</v>
      </c>
      <c r="E8" s="462">
        <f>+'4.1 Output - Key $ by Tumor'!D11</f>
        <v>1.6205569109589042</v>
      </c>
      <c r="F8" s="462">
        <f ca="1">+'4.1 Output - Key $ by Tumor'!E11</f>
        <v>5.4600302076923075</v>
      </c>
      <c r="G8" s="462">
        <f ca="1">+'4.1 Output - Key $ by Tumor'!F11</f>
        <v>2.1267533393258433</v>
      </c>
      <c r="H8" s="462">
        <f>+'4.1 Output - Key $ by Tumor'!G11</f>
        <v>0</v>
      </c>
      <c r="I8" s="982">
        <f t="shared" ca="1" si="0"/>
        <v>19.484249596531541</v>
      </c>
      <c r="J8" s="984"/>
      <c r="K8" s="987"/>
      <c r="L8" s="990"/>
      <c r="M8" s="990"/>
      <c r="N8" s="1000"/>
    </row>
    <row r="9" spans="2:15" x14ac:dyDescent="0.35">
      <c r="B9" s="456" t="str">
        <f>+'4.1 Output - Key $ by Tumor'!A12</f>
        <v>PROMO-US-2024 KEYTRUDA HEME / cHL</v>
      </c>
      <c r="C9" s="462">
        <f ca="1">+'4.1 Output - Key $ by Tumor'!B12</f>
        <v>0.63933747340034031</v>
      </c>
      <c r="D9" s="462">
        <f ca="1">+'4.1 Output - Key $ by Tumor'!C12</f>
        <v>0.33137970841879394</v>
      </c>
      <c r="E9" s="462">
        <f>+'4.1 Output - Key $ by Tumor'!D12</f>
        <v>0</v>
      </c>
      <c r="F9" s="462">
        <f ca="1">+'4.1 Output - Key $ by Tumor'!E12</f>
        <v>0</v>
      </c>
      <c r="G9" s="462">
        <f ca="1">+'4.1 Output - Key $ by Tumor'!F12</f>
        <v>0.26584416741573047</v>
      </c>
      <c r="H9" s="462">
        <f>+'4.1 Output - Key $ by Tumor'!G12</f>
        <v>0</v>
      </c>
      <c r="I9" s="982">
        <f t="shared" ca="1" si="0"/>
        <v>1.2365613492348646</v>
      </c>
      <c r="J9" s="983">
        <f>+I38</f>
        <v>2.7657003481954177</v>
      </c>
      <c r="K9" s="986">
        <f ca="1">+I9/$I$23*$J$22</f>
        <v>1.0526902247766465</v>
      </c>
      <c r="L9" s="994">
        <f>+'Historical Splits'!P19/1000000</f>
        <v>3.7032780391686901</v>
      </c>
      <c r="M9" s="994">
        <f t="shared" ref="M9:M13" ca="1" si="1">+I9/$I$23*$L$22</f>
        <v>1.2040052221238529</v>
      </c>
      <c r="N9" s="999"/>
    </row>
    <row r="10" spans="2:15" x14ac:dyDescent="0.35">
      <c r="B10" s="456" t="str">
        <f>+'4.1 Output - Key $ by Tumor'!A13</f>
        <v>PROMO-US-2024 KEYTRUDA BREAST CANC</v>
      </c>
      <c r="C10" s="462">
        <f ca="1">+'4.1 Output - Key $ by Tumor'!B13</f>
        <v>10.005251858154626</v>
      </c>
      <c r="D10" s="462">
        <f ca="1">+'4.1 Output - Key $ by Tumor'!C13</f>
        <v>11.184545416310323</v>
      </c>
      <c r="E10" s="462">
        <f>+'4.1 Output - Key $ by Tumor'!D13</f>
        <v>1.6205569109589042</v>
      </c>
      <c r="F10" s="462">
        <f ca="1">+'4.1 Output - Key $ by Tumor'!E13</f>
        <v>0</v>
      </c>
      <c r="G10" s="462">
        <f ca="1">+'4.1 Output - Key $ by Tumor'!F13</f>
        <v>2.3925975067415735</v>
      </c>
      <c r="H10" s="462">
        <f>+'4.1 Output - Key $ by Tumor'!G13</f>
        <v>3.1610061322645273</v>
      </c>
      <c r="I10" s="982">
        <f t="shared" ca="1" si="0"/>
        <v>28.363957824429956</v>
      </c>
      <c r="J10" s="984">
        <f>+I33</f>
        <v>18.826301529977115</v>
      </c>
      <c r="K10" s="988">
        <f ca="1">+I10/$I$23*$J$22</f>
        <v>24.14636455864461</v>
      </c>
      <c r="L10" s="990">
        <f>+'Historical Splits'!P14/1000000</f>
        <v>22.34203358767634</v>
      </c>
      <c r="M10" s="990">
        <f t="shared" ca="1" si="1"/>
        <v>27.617192921196573</v>
      </c>
      <c r="N10" s="1000"/>
    </row>
    <row r="11" spans="2:15" x14ac:dyDescent="0.35">
      <c r="B11" s="456" t="str">
        <f>+'4.1 Output - Key $ by Tumor'!A14</f>
        <v>PROMO-US-2024 KEYTRUDA SKIN CANCER</v>
      </c>
      <c r="C11" s="462">
        <f ca="1">+'4.1 Output - Key $ by Tumor'!B14</f>
        <v>4.7275159842150654</v>
      </c>
      <c r="D11" s="462">
        <f ca="1">+'4.1 Output - Key $ by Tumor'!C14</f>
        <v>3.5258385113020134</v>
      </c>
      <c r="E11" s="462">
        <f>+'4.1 Output - Key $ by Tumor'!D14</f>
        <v>0.97233414657534256</v>
      </c>
      <c r="F11" s="462">
        <f ca="1">+'4.1 Output - Key $ by Tumor'!E14</f>
        <v>0</v>
      </c>
      <c r="G11" s="462">
        <f ca="1">+'4.1 Output - Key $ by Tumor'!F14</f>
        <v>3.1901300089887643</v>
      </c>
      <c r="H11" s="462">
        <f>+'4.1 Output - Key $ by Tumor'!G14</f>
        <v>3.1610061322645273</v>
      </c>
      <c r="I11" s="982">
        <f t="shared" ca="1" si="0"/>
        <v>15.576824783345712</v>
      </c>
      <c r="J11" s="984">
        <f>+I45</f>
        <v>12.484329275808934</v>
      </c>
      <c r="K11" s="988">
        <f ca="1">+I11/$I$23*$J$22</f>
        <v>13.260620827776</v>
      </c>
      <c r="L11" s="990">
        <f>+'Historical Splits'!P22/1000000</f>
        <v>13.448242735961355</v>
      </c>
      <c r="M11" s="990">
        <f t="shared" ca="1" si="1"/>
        <v>15.166718897417493</v>
      </c>
      <c r="N11" s="1000"/>
    </row>
    <row r="12" spans="2:15" x14ac:dyDescent="0.35">
      <c r="B12" s="456" t="str">
        <f>+'4.1 Output - Key $ by Tumor'!A15</f>
        <v>PROMO-US-2024 KEYTRUDA LUNG</v>
      </c>
      <c r="C12" s="462">
        <f ca="1">+'4.1 Output - Key $ by Tumor'!B15</f>
        <v>19.771470271604827</v>
      </c>
      <c r="D12" s="462">
        <f ca="1">+'4.1 Output - Key $ by Tumor'!C15</f>
        <v>18.649023264501292</v>
      </c>
      <c r="E12" s="462">
        <f>+'4.1 Output - Key $ by Tumor'!D15</f>
        <v>7.4545617904109589</v>
      </c>
      <c r="F12" s="462">
        <f ca="1">+'4.1 Output - Key $ by Tumor'!E15</f>
        <v>10.920060415384615</v>
      </c>
      <c r="G12" s="462">
        <f ca="1">+'4.1 Output - Key $ by Tumor'!F15</f>
        <v>3.7218183438202255</v>
      </c>
      <c r="H12" s="462">
        <f>+'4.1 Output - Key $ by Tumor'!G15</f>
        <v>3.1610061322645264</v>
      </c>
      <c r="I12" s="982">
        <f t="shared" ca="1" si="0"/>
        <v>63.677940217986446</v>
      </c>
      <c r="J12" s="984">
        <f>+I41</f>
        <v>49.066858469991075</v>
      </c>
      <c r="K12" s="988">
        <f ca="1">+I12/$I$23*$J$22</f>
        <v>54.209316216185705</v>
      </c>
      <c r="L12" s="994">
        <f>+'Historical Splits'!P20/1000000</f>
        <v>67.246887811242772</v>
      </c>
      <c r="M12" s="994">
        <f t="shared" ca="1" si="1"/>
        <v>62.001430502405469</v>
      </c>
      <c r="N12" s="999"/>
    </row>
    <row r="13" spans="2:15" x14ac:dyDescent="0.35">
      <c r="B13" s="456" t="str">
        <f>+'4.1 Output - Key $ by Tumor'!A16</f>
        <v>PROMO-US-2024 KEYTRUDA BLAD - mUC</v>
      </c>
      <c r="C13" s="462">
        <f ca="1">+'4.1 Output - Key $ by Tumor'!B16</f>
        <v>3.9521161275812373</v>
      </c>
      <c r="D13" s="462">
        <f ca="1">+'4.1 Output - Key $ by Tumor'!C16</f>
        <v>7.725394193109592</v>
      </c>
      <c r="E13" s="462">
        <f>+'4.1 Output - Key $ by Tumor'!D16</f>
        <v>3.2411138219178084</v>
      </c>
      <c r="F13" s="462">
        <f ca="1">+'4.1 Output - Key $ by Tumor'!E16</f>
        <v>4.0950226557692311</v>
      </c>
      <c r="G13" s="462">
        <f ca="1">+'4.1 Output - Key $ by Tumor'!F16</f>
        <v>0.79753250224719141</v>
      </c>
      <c r="H13" s="462">
        <f>+'4.1 Output - Key $ by Tumor'!G16</f>
        <v>1.5805030661322634</v>
      </c>
      <c r="I13" s="982">
        <f t="shared" ca="1" si="0"/>
        <v>21.391682366757323</v>
      </c>
      <c r="J13" s="984">
        <f>+I31</f>
        <v>11.513583499065943</v>
      </c>
      <c r="K13" s="988">
        <f ca="1">+I13/$I$23*$J$22</f>
        <v>18.210835178494094</v>
      </c>
      <c r="L13" s="990">
        <f>+'Historical Splits'!P12/1000000</f>
        <v>13.825516545684636</v>
      </c>
      <c r="M13" s="990">
        <f t="shared" ca="1" si="1"/>
        <v>20.82848319295049</v>
      </c>
      <c r="N13" s="1000"/>
    </row>
    <row r="14" spans="2:15" x14ac:dyDescent="0.35">
      <c r="B14" s="456" t="str">
        <f>+'4.1 Output - Key $ by Tumor'!A17</f>
        <v>PROMO-US-2024 KEYTRUDA BLAD - MIBC</v>
      </c>
      <c r="C14" s="462">
        <f ca="1">+'4.1 Output - Key $ by Tumor'!B17</f>
        <v>0.55371243991283281</v>
      </c>
      <c r="D14" s="462">
        <f ca="1">+'4.1 Output - Key $ by Tumor'!C17</f>
        <v>1.8492134142526588</v>
      </c>
      <c r="E14" s="462">
        <f>+'4.1 Output - Key $ by Tumor'!D17</f>
        <v>0.97233414657534256</v>
      </c>
      <c r="F14" s="462">
        <f ca="1">+'4.1 Output - Key $ by Tumor'!E17</f>
        <v>2.7300151038461533</v>
      </c>
      <c r="G14" s="462">
        <f ca="1">+'4.1 Output - Key $ by Tumor'!F17</f>
        <v>2.3925975067415735</v>
      </c>
      <c r="H14" s="462">
        <f>+'4.1 Output - Key $ by Tumor'!G17</f>
        <v>1.5805030661322634</v>
      </c>
      <c r="I14" s="982">
        <f t="shared" ca="1" si="0"/>
        <v>10.078375677460823</v>
      </c>
      <c r="J14" s="984"/>
      <c r="K14" s="987"/>
      <c r="L14" s="990"/>
      <c r="M14" s="990"/>
      <c r="N14" s="1000"/>
    </row>
    <row r="15" spans="2:15" x14ac:dyDescent="0.35">
      <c r="B15" s="456" t="str">
        <f>+'4.1 Output - Key $ by Tumor'!A18</f>
        <v>PROMO-US-2024 KEYTRUDA BLAD -NMIBC</v>
      </c>
      <c r="C15" s="462">
        <f ca="1">+'4.1 Output - Key $ by Tumor'!B18</f>
        <v>1.3471187985316622</v>
      </c>
      <c r="D15" s="462">
        <f ca="1">+'4.1 Output - Key $ by Tumor'!C18</f>
        <v>2.6533201878260853</v>
      </c>
      <c r="E15" s="462">
        <f>+'4.1 Output - Key $ by Tumor'!D18</f>
        <v>0.97233414657534256</v>
      </c>
      <c r="F15" s="462">
        <f ca="1">+'4.1 Output - Key $ by Tumor'!E18</f>
        <v>0</v>
      </c>
      <c r="G15" s="462">
        <f ca="1">+'4.1 Output - Key $ by Tumor'!F18</f>
        <v>2.3925975067415735</v>
      </c>
      <c r="H15" s="462">
        <f>+'4.1 Output - Key $ by Tumor'!G18</f>
        <v>1.5805030661322634</v>
      </c>
      <c r="I15" s="982">
        <f t="shared" ca="1" si="0"/>
        <v>8.9458737058069282</v>
      </c>
      <c r="J15" s="984">
        <f>+I32</f>
        <v>2.2079145016039323</v>
      </c>
      <c r="K15" s="988">
        <f ca="1">+I15/$I$23*$J$22</f>
        <v>7.6156624238792521</v>
      </c>
      <c r="L15" s="994">
        <f>+'Historical Splits'!P13/1000000</f>
        <v>9.9514911531409265</v>
      </c>
      <c r="M15" s="994">
        <f ca="1">+I15/$I$23*$L$22</f>
        <v>8.7103471776120127</v>
      </c>
      <c r="N15" s="999"/>
    </row>
    <row r="16" spans="2:15" x14ac:dyDescent="0.35">
      <c r="B16" s="456" t="str">
        <f>+'4.1 Output - Key $ by Tumor'!A19</f>
        <v>PROMO-US-2024 KEYTRUDA OVARIAN AND GYN</v>
      </c>
      <c r="C16" s="462">
        <f ca="1">+'4.1 Output - Key $ by Tumor'!B19</f>
        <v>0.42777737514531367</v>
      </c>
      <c r="D16" s="462">
        <f ca="1">+'4.1 Output - Key $ by Tumor'!C19</f>
        <v>3.068435014456516</v>
      </c>
      <c r="E16" s="462">
        <f>+'4.1 Output - Key $ by Tumor'!D19</f>
        <v>1.6205569109589042</v>
      </c>
      <c r="F16" s="462">
        <f ca="1">+'4.1 Output - Key $ by Tumor'!E19</f>
        <v>4.0950226557692311</v>
      </c>
      <c r="G16" s="462">
        <f ca="1">+'4.1 Output - Key $ by Tumor'!F19</f>
        <v>0.53168833483146083</v>
      </c>
      <c r="H16" s="462">
        <f>+'4.1 Output - Key $ by Tumor'!G19</f>
        <v>0</v>
      </c>
      <c r="I16" s="982">
        <f t="shared" ca="1" si="0"/>
        <v>9.7434802911614256</v>
      </c>
      <c r="J16" s="984"/>
      <c r="K16" s="987"/>
      <c r="L16" s="990"/>
      <c r="M16" s="990"/>
      <c r="N16" s="1000"/>
    </row>
    <row r="17" spans="2:14" x14ac:dyDescent="0.35">
      <c r="B17" s="456" t="str">
        <f>+'4.1 Output - Key $ by Tumor'!A20</f>
        <v>PROMO-US-2024 KEYTRUDA ADJUVANT RCC</v>
      </c>
      <c r="C17" s="462">
        <f ca="1">+'4.1 Output - Key $ by Tumor'!B20</f>
        <v>2.1923768805103023</v>
      </c>
      <c r="D17" s="462">
        <f ca="1">+'4.1 Output - Key $ by Tumor'!C20</f>
        <v>3.8471167088545459</v>
      </c>
      <c r="E17" s="462">
        <f>+'4.1 Output - Key $ by Tumor'!D20</f>
        <v>1.6205569109589042</v>
      </c>
      <c r="F17" s="462">
        <f ca="1">+'4.1 Output - Key $ by Tumor'!E20</f>
        <v>0</v>
      </c>
      <c r="G17" s="462">
        <f ca="1">+'4.1 Output - Key $ by Tumor'!F20</f>
        <v>0.53168833483146083</v>
      </c>
      <c r="H17" s="462">
        <f>+'4.1 Output - Key $ by Tumor'!G20</f>
        <v>3.1610061322645273</v>
      </c>
      <c r="I17" s="982">
        <f t="shared" ca="1" si="0"/>
        <v>11.35274496741974</v>
      </c>
      <c r="J17" s="984">
        <f>+I39</f>
        <v>7.1726651077593981</v>
      </c>
      <c r="K17" s="988">
        <f ca="1">+I17/$I$23*$J$22</f>
        <v>9.6646427279809366</v>
      </c>
      <c r="L17" s="994">
        <f>+'Historical Splits'!P10/1000000</f>
        <v>18.990663015870581</v>
      </c>
      <c r="M17" s="994">
        <f ca="1">+I17/$I$23*$L$22</f>
        <v>11.053850449612831</v>
      </c>
      <c r="N17" s="999"/>
    </row>
    <row r="18" spans="2:14" x14ac:dyDescent="0.35">
      <c r="B18" s="456" t="s">
        <v>589</v>
      </c>
      <c r="C18" s="462">
        <f t="shared" ref="C18:H18" ca="1" si="2">SUM(C5:C17)</f>
        <v>59.150327249999997</v>
      </c>
      <c r="D18" s="462">
        <f t="shared" ca="1" si="2"/>
        <v>70.980392699999967</v>
      </c>
      <c r="E18" s="462">
        <f t="shared" si="2"/>
        <v>23.660130899999999</v>
      </c>
      <c r="F18" s="462">
        <f t="shared" ca="1" si="2"/>
        <v>35.490196349999998</v>
      </c>
      <c r="G18" s="462">
        <f t="shared" ca="1" si="2"/>
        <v>23.660130900000002</v>
      </c>
      <c r="H18" s="462">
        <f t="shared" si="2"/>
        <v>23.660130899999984</v>
      </c>
      <c r="I18" s="982">
        <f ca="1">SUM(C18:H18)</f>
        <v>236.60130899999996</v>
      </c>
      <c r="J18" s="984"/>
      <c r="K18" s="987"/>
      <c r="L18" s="990"/>
      <c r="M18" s="990"/>
      <c r="N18" s="1000"/>
    </row>
    <row r="19" spans="2:14" x14ac:dyDescent="0.35">
      <c r="B19" s="963"/>
      <c r="C19" s="964"/>
      <c r="D19" s="964"/>
      <c r="E19" s="964"/>
      <c r="F19" s="964"/>
      <c r="G19" s="964"/>
      <c r="H19" s="964"/>
      <c r="I19" s="965"/>
      <c r="J19" s="984"/>
      <c r="K19" s="987"/>
      <c r="L19" s="990"/>
      <c r="M19" s="990"/>
      <c r="N19" s="1000"/>
    </row>
    <row r="20" spans="2:14" x14ac:dyDescent="0.35">
      <c r="B20" s="4" t="s">
        <v>1260</v>
      </c>
      <c r="C20" s="966">
        <f ca="1">+C16+C8+C6</f>
        <v>4.7857628818096005</v>
      </c>
      <c r="D20" s="966">
        <f t="shared" ref="D20:I20" ca="1" si="3">+D16+D8+D6</f>
        <v>12.9271934010564</v>
      </c>
      <c r="E20" s="966">
        <f t="shared" si="3"/>
        <v>3.2411138219178084</v>
      </c>
      <c r="F20" s="966">
        <f t="shared" ca="1" si="3"/>
        <v>10.920060415384615</v>
      </c>
      <c r="G20" s="966">
        <f t="shared" ca="1" si="3"/>
        <v>2.9242858415730346</v>
      </c>
      <c r="H20" s="966">
        <f t="shared" si="3"/>
        <v>0</v>
      </c>
      <c r="I20" s="966">
        <f t="shared" ca="1" si="3"/>
        <v>34.798416361741459</v>
      </c>
      <c r="J20" s="984">
        <f>+I36</f>
        <v>19.809323765234687</v>
      </c>
      <c r="K20" s="988">
        <f ca="1">+I20/$I$23*$J$22</f>
        <v>29.624047981427985</v>
      </c>
      <c r="L20" s="990">
        <f>+'Historical Splits'!P21/1000000</f>
        <v>20.621778757807807</v>
      </c>
      <c r="M20" s="990">
        <f ca="1">+I20/$I$23*$L$22</f>
        <v>33.882245346825172</v>
      </c>
      <c r="N20" s="1000"/>
    </row>
    <row r="21" spans="2:14" x14ac:dyDescent="0.35">
      <c r="C21" s="966"/>
      <c r="D21" s="966"/>
      <c r="E21" s="966"/>
      <c r="F21" s="966"/>
      <c r="G21" s="966"/>
      <c r="H21" s="966"/>
      <c r="I21" s="966"/>
      <c r="J21" s="984"/>
      <c r="K21" s="987"/>
      <c r="L21" s="987"/>
      <c r="M21" s="987"/>
      <c r="N21" s="208"/>
    </row>
    <row r="22" spans="2:14" x14ac:dyDescent="0.35">
      <c r="C22" s="966"/>
      <c r="D22" s="966"/>
      <c r="E22" s="966"/>
      <c r="F22" s="966"/>
      <c r="G22" s="966"/>
      <c r="H22" s="966"/>
      <c r="I22" s="966">
        <f ca="1">+I18</f>
        <v>236.60130899999996</v>
      </c>
      <c r="J22" s="985">
        <f>SUM(J5:J20)</f>
        <v>192.83998949499573</v>
      </c>
      <c r="K22" s="989">
        <f ca="1">SUM(K5:K20)</f>
        <v>192.83998949499576</v>
      </c>
      <c r="L22" s="989">
        <f>SUM(L5:L20)</f>
        <v>220.55904854207839</v>
      </c>
      <c r="M22" s="989">
        <f ca="1">SUM(M5:M20)</f>
        <v>220.55904854207847</v>
      </c>
      <c r="N22" s="1000"/>
    </row>
    <row r="23" spans="2:14" x14ac:dyDescent="0.35">
      <c r="H23" s="4" t="s">
        <v>1290</v>
      </c>
      <c r="I23" s="966">
        <f ca="1">+I22-I14</f>
        <v>226.52293332253913</v>
      </c>
      <c r="J23" s="966"/>
    </row>
    <row r="24" spans="2:14" x14ac:dyDescent="0.35">
      <c r="I24" s="966"/>
      <c r="J24" s="966"/>
    </row>
    <row r="25" spans="2:14" x14ac:dyDescent="0.35">
      <c r="I25" s="966"/>
      <c r="J25" s="966"/>
    </row>
    <row r="26" spans="2:14" ht="15" thickBot="1" x14ac:dyDescent="0.4">
      <c r="I26" s="966"/>
      <c r="J26" s="966"/>
    </row>
    <row r="27" spans="2:14" ht="15" thickBot="1" x14ac:dyDescent="0.4">
      <c r="B27" s="1092" t="s">
        <v>1258</v>
      </c>
      <c r="C27" s="1093"/>
      <c r="D27" s="1093"/>
      <c r="E27" s="1093"/>
      <c r="F27" s="1093"/>
      <c r="G27" s="1093"/>
      <c r="H27" s="1093"/>
      <c r="I27" s="1094"/>
      <c r="J27" s="966"/>
    </row>
    <row r="28" spans="2:14" x14ac:dyDescent="0.35">
      <c r="B28" s="450"/>
      <c r="C28" s="1062" t="s">
        <v>779</v>
      </c>
      <c r="D28" s="1063" t="s">
        <v>1233</v>
      </c>
      <c r="E28" s="1063" t="s">
        <v>1233</v>
      </c>
      <c r="F28" s="1063" t="s">
        <v>1233</v>
      </c>
      <c r="G28" s="1063" t="s">
        <v>1233</v>
      </c>
      <c r="H28" s="1063" t="s">
        <v>1233</v>
      </c>
      <c r="I28" s="1064" t="s">
        <v>1233</v>
      </c>
      <c r="J28" s="966"/>
    </row>
    <row r="29" spans="2:14" ht="39.5" x14ac:dyDescent="0.35">
      <c r="B29" s="452" t="s">
        <v>593</v>
      </c>
      <c r="C29" s="453" t="s">
        <v>782</v>
      </c>
      <c r="D29" s="453" t="s">
        <v>783</v>
      </c>
      <c r="E29" s="453" t="s">
        <v>509</v>
      </c>
      <c r="F29" s="453" t="s">
        <v>454</v>
      </c>
      <c r="G29" s="453" t="s">
        <v>784</v>
      </c>
      <c r="H29" s="453" t="s">
        <v>447</v>
      </c>
      <c r="I29" s="454" t="s">
        <v>589</v>
      </c>
    </row>
    <row r="30" spans="2:14" x14ac:dyDescent="0.35">
      <c r="B30" s="456" t="s">
        <v>1216</v>
      </c>
      <c r="C30" s="462">
        <v>0.53580220396342459</v>
      </c>
      <c r="D30" s="462">
        <v>1.5069859191124668</v>
      </c>
      <c r="E30" s="462">
        <v>0</v>
      </c>
      <c r="F30" s="462">
        <v>2.355</v>
      </c>
      <c r="G30" s="462">
        <v>0.52333333333333343</v>
      </c>
      <c r="H30" s="462">
        <v>2.1980000000000004</v>
      </c>
      <c r="I30" s="458">
        <v>7.1191214564092249</v>
      </c>
    </row>
    <row r="31" spans="2:14" x14ac:dyDescent="0.35">
      <c r="B31" s="456" t="s">
        <v>1217</v>
      </c>
      <c r="C31" s="462">
        <v>1.8331137069578529</v>
      </c>
      <c r="D31" s="462">
        <v>3.5173475698858687</v>
      </c>
      <c r="E31" s="462">
        <v>1.7584000000000004</v>
      </c>
      <c r="F31" s="462">
        <v>3.5324999999999998</v>
      </c>
      <c r="G31" s="462">
        <v>0.87222222222222245</v>
      </c>
      <c r="H31" s="462">
        <v>0</v>
      </c>
      <c r="I31" s="458">
        <v>11.513583499065943</v>
      </c>
    </row>
    <row r="32" spans="2:14" x14ac:dyDescent="0.35">
      <c r="B32" s="456" t="s">
        <v>1218</v>
      </c>
      <c r="C32" s="462">
        <v>0</v>
      </c>
      <c r="D32" s="462">
        <v>1.1612478349372652</v>
      </c>
      <c r="E32" s="462">
        <v>0</v>
      </c>
      <c r="F32" s="462">
        <v>0</v>
      </c>
      <c r="G32" s="462">
        <v>1.0466666666666669</v>
      </c>
      <c r="H32" s="462">
        <v>0</v>
      </c>
      <c r="I32" s="458">
        <v>2.2079145016039323</v>
      </c>
    </row>
    <row r="33" spans="2:9" x14ac:dyDescent="0.35">
      <c r="B33" s="456" t="s">
        <v>1219</v>
      </c>
      <c r="C33" s="462">
        <v>5.7518178185124054</v>
      </c>
      <c r="D33" s="462">
        <v>7.5480837114647086</v>
      </c>
      <c r="E33" s="462">
        <v>1.7584000000000004</v>
      </c>
      <c r="F33" s="462">
        <v>0</v>
      </c>
      <c r="G33" s="462">
        <v>1.5700000000000003</v>
      </c>
      <c r="H33" s="462">
        <v>2.1980000000000004</v>
      </c>
      <c r="I33" s="458">
        <v>18.826301529977115</v>
      </c>
    </row>
    <row r="34" spans="2:9" x14ac:dyDescent="0.35">
      <c r="B34" s="456" t="s">
        <v>1220</v>
      </c>
      <c r="C34" s="462">
        <v>1.4787872445854007</v>
      </c>
      <c r="D34" s="462">
        <v>1.745518125907769</v>
      </c>
      <c r="E34" s="462">
        <v>1.7584000000000004</v>
      </c>
      <c r="F34" s="462">
        <v>0</v>
      </c>
      <c r="G34" s="462">
        <v>0.52333333333333343</v>
      </c>
      <c r="H34" s="462">
        <v>2.1980000000000004</v>
      </c>
      <c r="I34" s="458">
        <v>7.7040387038265035</v>
      </c>
    </row>
    <row r="35" spans="2:9" x14ac:dyDescent="0.35">
      <c r="B35" s="456" t="s">
        <v>1221</v>
      </c>
      <c r="C35" s="462">
        <v>1.1365735377132413</v>
      </c>
      <c r="D35" s="462">
        <v>1.6687487885263483</v>
      </c>
      <c r="E35" s="462">
        <v>2.2859200000000004</v>
      </c>
      <c r="F35" s="462">
        <v>5.8874999999999993</v>
      </c>
      <c r="G35" s="462">
        <v>1.2211111111111113</v>
      </c>
      <c r="H35" s="462">
        <v>2.1980000000000004</v>
      </c>
      <c r="I35" s="458">
        <v>14.397853437350701</v>
      </c>
    </row>
    <row r="36" spans="2:9" x14ac:dyDescent="0.35">
      <c r="B36" s="456" t="s">
        <v>1222</v>
      </c>
      <c r="C36" s="462">
        <v>4.0918628306363534</v>
      </c>
      <c r="D36" s="462">
        <v>4.5599942679316658</v>
      </c>
      <c r="E36" s="462">
        <v>3.5168000000000008</v>
      </c>
      <c r="F36" s="462">
        <v>2.355</v>
      </c>
      <c r="G36" s="462">
        <v>4.1866666666666683</v>
      </c>
      <c r="H36" s="462">
        <v>1.0990000000000002</v>
      </c>
      <c r="I36" s="458">
        <v>19.809323765234687</v>
      </c>
    </row>
    <row r="37" spans="2:9" x14ac:dyDescent="0.35">
      <c r="B37" s="456" t="s">
        <v>1223</v>
      </c>
      <c r="C37" s="462">
        <v>8.0584996613706483</v>
      </c>
      <c r="D37" s="462">
        <v>12.833337061304137</v>
      </c>
      <c r="E37" s="462">
        <v>2.2859200000000004</v>
      </c>
      <c r="F37" s="462">
        <v>3.5324999999999998</v>
      </c>
      <c r="G37" s="462">
        <v>1.9188888888888893</v>
      </c>
      <c r="H37" s="462">
        <v>2.1980000000000004</v>
      </c>
      <c r="I37" s="458">
        <v>30.827145611563676</v>
      </c>
    </row>
    <row r="38" spans="2:9" x14ac:dyDescent="0.35">
      <c r="B38" s="456" t="s">
        <v>1224</v>
      </c>
      <c r="C38" s="462">
        <v>0.52470981812379114</v>
      </c>
      <c r="D38" s="462">
        <v>0.79310164118273763</v>
      </c>
      <c r="E38" s="462">
        <v>0</v>
      </c>
      <c r="F38" s="462">
        <v>0</v>
      </c>
      <c r="G38" s="462">
        <v>0.34888888888888892</v>
      </c>
      <c r="H38" s="462">
        <v>1.0990000000000002</v>
      </c>
      <c r="I38" s="458">
        <v>2.7657003481954177</v>
      </c>
    </row>
    <row r="39" spans="2:9" x14ac:dyDescent="0.35">
      <c r="B39" s="456" t="s">
        <v>1225</v>
      </c>
      <c r="C39" s="462">
        <v>1.425656464908295</v>
      </c>
      <c r="D39" s="462">
        <v>1.9748219761844359</v>
      </c>
      <c r="E39" s="462">
        <v>0.5275200000000001</v>
      </c>
      <c r="F39" s="462">
        <v>0</v>
      </c>
      <c r="G39" s="462">
        <v>1.0466666666666669</v>
      </c>
      <c r="H39" s="462">
        <v>2.1980000000000004</v>
      </c>
      <c r="I39" s="458">
        <v>7.1726651077593981</v>
      </c>
    </row>
    <row r="40" spans="2:9" x14ac:dyDescent="0.35">
      <c r="B40" s="456" t="s">
        <v>1226</v>
      </c>
      <c r="C40" s="462">
        <v>4.1747454698452736E-2</v>
      </c>
      <c r="D40" s="462">
        <v>5.2847934962959101E-2</v>
      </c>
      <c r="E40" s="462">
        <v>0</v>
      </c>
      <c r="F40" s="462">
        <v>1.1775</v>
      </c>
      <c r="G40" s="462">
        <v>0.87222222222222245</v>
      </c>
      <c r="H40" s="462">
        <v>0</v>
      </c>
      <c r="I40" s="458">
        <v>2.1443176118836345</v>
      </c>
    </row>
    <row r="41" spans="2:9" x14ac:dyDescent="0.35">
      <c r="B41" s="456" t="s">
        <v>1227</v>
      </c>
      <c r="C41" s="462">
        <v>19.891362375910429</v>
      </c>
      <c r="D41" s="462">
        <v>13.081251649636197</v>
      </c>
      <c r="E41" s="462">
        <v>3.5168000000000008</v>
      </c>
      <c r="F41" s="462">
        <v>7.0649999999999995</v>
      </c>
      <c r="G41" s="462">
        <v>3.3144444444444456</v>
      </c>
      <c r="H41" s="462">
        <v>2.1980000000000004</v>
      </c>
      <c r="I41" s="458">
        <v>49.066858469991075</v>
      </c>
    </row>
    <row r="42" spans="2:9" x14ac:dyDescent="0.35">
      <c r="B42" s="456" t="s">
        <v>1228</v>
      </c>
      <c r="C42" s="462">
        <v>3.5887783517708454</v>
      </c>
      <c r="D42" s="462">
        <v>1.9867600467768662</v>
      </c>
      <c r="E42" s="462">
        <v>0.5275200000000001</v>
      </c>
      <c r="F42" s="462">
        <v>0</v>
      </c>
      <c r="G42" s="462">
        <v>0.69777777777777783</v>
      </c>
      <c r="H42" s="462">
        <v>0</v>
      </c>
      <c r="I42" s="458">
        <v>6.8008361763254896</v>
      </c>
    </row>
    <row r="43" spans="2:9" x14ac:dyDescent="0.35">
      <c r="B43" s="456" t="s">
        <v>1229</v>
      </c>
      <c r="C43" s="462">
        <v>0.46005180652976763</v>
      </c>
      <c r="D43" s="462">
        <v>0.22079226461955742</v>
      </c>
      <c r="E43" s="462">
        <v>0.5275200000000001</v>
      </c>
      <c r="F43" s="462">
        <v>0</v>
      </c>
      <c r="G43" s="462">
        <v>0.34888888888888892</v>
      </c>
      <c r="H43" s="462">
        <v>0</v>
      </c>
      <c r="I43" s="458">
        <v>1.5572529600382139</v>
      </c>
    </row>
    <row r="44" spans="2:9" x14ac:dyDescent="0.35">
      <c r="B44" s="456" t="s">
        <v>1230</v>
      </c>
      <c r="C44" s="462">
        <v>2.2632321422033734</v>
      </c>
      <c r="D44" s="462">
        <v>11.42034762498491</v>
      </c>
      <c r="E44" s="462">
        <v>1.7584000000000004</v>
      </c>
      <c r="F44" s="462">
        <v>7.0650000000000004</v>
      </c>
      <c r="G44" s="462">
        <v>0.69777777777777783</v>
      </c>
      <c r="H44" s="462">
        <v>2.1980000000000004</v>
      </c>
      <c r="I44" s="458">
        <v>25.402757544966061</v>
      </c>
    </row>
    <row r="45" spans="2:9" x14ac:dyDescent="0.35">
      <c r="B45" s="456" t="s">
        <v>1231</v>
      </c>
      <c r="C45" s="462">
        <v>3.8680045821157307</v>
      </c>
      <c r="D45" s="462">
        <v>1.86881358258209</v>
      </c>
      <c r="E45" s="462">
        <v>1.7584000000000004</v>
      </c>
      <c r="F45" s="462">
        <v>0</v>
      </c>
      <c r="G45" s="462">
        <v>2.7911111111111118</v>
      </c>
      <c r="H45" s="462">
        <v>2.1980000000000004</v>
      </c>
      <c r="I45" s="458">
        <v>12.484329275808934</v>
      </c>
    </row>
    <row r="46" spans="2:9" x14ac:dyDescent="0.35">
      <c r="B46" s="456" t="s">
        <v>589</v>
      </c>
      <c r="C46" s="462">
        <v>54.95000000000001</v>
      </c>
      <c r="D46" s="462">
        <v>65.939999999999984</v>
      </c>
      <c r="E46" s="462">
        <v>21.980000000000008</v>
      </c>
      <c r="F46" s="462">
        <v>32.969999999999992</v>
      </c>
      <c r="G46" s="462">
        <v>21.98</v>
      </c>
      <c r="H46" s="462">
        <v>21.980000000000004</v>
      </c>
      <c r="I46" s="458">
        <v>219.8</v>
      </c>
    </row>
    <row r="47" spans="2:9" x14ac:dyDescent="0.35">
      <c r="C47" s="966"/>
      <c r="D47" s="966"/>
      <c r="E47" s="966"/>
      <c r="F47" s="966"/>
      <c r="G47" s="966"/>
      <c r="H47" s="966"/>
    </row>
    <row r="48" spans="2:9" x14ac:dyDescent="0.35">
      <c r="B48" s="4" t="s">
        <v>1259</v>
      </c>
      <c r="C48" s="966">
        <f>+C30+C34+C35+C40+C42</f>
        <v>6.781688792731364</v>
      </c>
      <c r="D48" s="966">
        <f t="shared" ref="D48:I48" si="4">+D30+D34+D35+D40+D42</f>
        <v>6.9608608152864093</v>
      </c>
      <c r="E48" s="966">
        <f t="shared" si="4"/>
        <v>4.5718400000000008</v>
      </c>
      <c r="F48" s="966">
        <f t="shared" si="4"/>
        <v>9.42</v>
      </c>
      <c r="G48" s="966">
        <f t="shared" si="4"/>
        <v>3.8377777777777782</v>
      </c>
      <c r="H48" s="966">
        <f t="shared" si="4"/>
        <v>6.5940000000000012</v>
      </c>
      <c r="I48" s="966">
        <f t="shared" si="4"/>
        <v>38.166167385795553</v>
      </c>
    </row>
    <row r="52" spans="9:9" x14ac:dyDescent="0.35">
      <c r="I52" s="966"/>
    </row>
  </sheetData>
  <mergeCells count="4">
    <mergeCell ref="C3:I3"/>
    <mergeCell ref="C28:I28"/>
    <mergeCell ref="B2:I2"/>
    <mergeCell ref="B27:I27"/>
  </mergeCells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BC9B-859E-45BA-A3B3-1B3DAC1CE586}">
  <sheetPr>
    <tabColor theme="2" tint="-0.499984740745262"/>
    <pageSetUpPr autoPageBreaks="0"/>
  </sheetPr>
  <dimension ref="A1:S77"/>
  <sheetViews>
    <sheetView topLeftCell="H7" zoomScale="130" zoomScaleNormal="130" workbookViewId="0">
      <selection activeCell="S19" sqref="S19"/>
    </sheetView>
  </sheetViews>
  <sheetFormatPr defaultRowHeight="14.5" outlineLevelRow="1" x14ac:dyDescent="0.35"/>
  <cols>
    <col min="1" max="1" width="35" customWidth="1"/>
    <col min="2" max="2" width="11.453125" bestFit="1" customWidth="1"/>
    <col min="3" max="3" width="12.453125" customWidth="1"/>
    <col min="4" max="4" width="12.7265625" customWidth="1"/>
    <col min="5" max="5" width="12.54296875" customWidth="1"/>
    <col min="6" max="6" width="13.54296875" customWidth="1"/>
    <col min="7" max="7" width="9.54296875" customWidth="1"/>
    <col min="8" max="8" width="13.26953125" customWidth="1"/>
    <col min="9" max="9" width="2.54296875" customWidth="1"/>
    <col min="10" max="12" width="9.7265625" customWidth="1"/>
    <col min="13" max="13" width="2.54296875" customWidth="1"/>
    <col min="14" max="16" width="9.7265625" customWidth="1"/>
    <col min="17" max="17" width="5.81640625" style="448" customWidth="1"/>
    <col min="18" max="18" width="27.1796875" bestFit="1" customWidth="1"/>
    <col min="19" max="19" width="5.90625" customWidth="1"/>
  </cols>
  <sheetData>
    <row r="1" spans="1:16" x14ac:dyDescent="0.35">
      <c r="A1" s="174" t="s">
        <v>526</v>
      </c>
    </row>
    <row r="2" spans="1:16" x14ac:dyDescent="0.35">
      <c r="A2" t="s">
        <v>774</v>
      </c>
    </row>
    <row r="3" spans="1:16" x14ac:dyDescent="0.35">
      <c r="A3" t="s">
        <v>775</v>
      </c>
    </row>
    <row r="4" spans="1:16" x14ac:dyDescent="0.35">
      <c r="A4" s="449" t="s">
        <v>776</v>
      </c>
    </row>
    <row r="5" spans="1:16" x14ac:dyDescent="0.35">
      <c r="A5" s="449"/>
      <c r="J5" t="s">
        <v>777</v>
      </c>
      <c r="N5" t="s">
        <v>778</v>
      </c>
    </row>
    <row r="6" spans="1:16" x14ac:dyDescent="0.35">
      <c r="A6" s="450"/>
      <c r="B6" s="1062" t="s">
        <v>779</v>
      </c>
      <c r="C6" s="1063" t="str">
        <f>+[1]Output!$L$1</f>
        <v>do not use</v>
      </c>
      <c r="D6" s="1063" t="str">
        <f>+[1]Output!$L$1</f>
        <v>do not use</v>
      </c>
      <c r="E6" s="1063" t="str">
        <f>+[1]Output!$L$1</f>
        <v>do not use</v>
      </c>
      <c r="F6" s="1063" t="str">
        <f>+[1]Output!$L$1</f>
        <v>do not use</v>
      </c>
      <c r="G6" s="1063" t="str">
        <f>+[1]Output!$L$1</f>
        <v>do not use</v>
      </c>
      <c r="H6" s="1064" t="str">
        <f>+[1]Output!$L$1</f>
        <v>do not use</v>
      </c>
      <c r="J6" s="1065" t="s">
        <v>780</v>
      </c>
      <c r="K6" s="1066"/>
      <c r="L6" s="893"/>
      <c r="N6" s="1065" t="s">
        <v>781</v>
      </c>
      <c r="O6" s="1066"/>
      <c r="P6" s="893"/>
    </row>
    <row r="7" spans="1:16" ht="26.5" x14ac:dyDescent="0.35">
      <c r="A7" s="452" t="s">
        <v>593</v>
      </c>
      <c r="B7" s="453" t="s">
        <v>782</v>
      </c>
      <c r="C7" s="453" t="s">
        <v>783</v>
      </c>
      <c r="D7" s="453" t="s">
        <v>509</v>
      </c>
      <c r="E7" s="453" t="s">
        <v>454</v>
      </c>
      <c r="F7" s="453" t="s">
        <v>784</v>
      </c>
      <c r="G7" s="453" t="s">
        <v>447</v>
      </c>
      <c r="H7" s="454" t="s">
        <v>589</v>
      </c>
      <c r="J7" s="455" t="s">
        <v>785</v>
      </c>
      <c r="K7" s="455" t="s">
        <v>786</v>
      </c>
      <c r="L7" s="455" t="s">
        <v>787</v>
      </c>
      <c r="N7" s="455" t="s">
        <v>788</v>
      </c>
      <c r="O7" s="455" t="s">
        <v>786</v>
      </c>
      <c r="P7" s="455" t="s">
        <v>787</v>
      </c>
    </row>
    <row r="8" spans="1:16" x14ac:dyDescent="0.35">
      <c r="A8" s="456" t="s">
        <v>1216</v>
      </c>
      <c r="B8" s="457">
        <v>0.53580220396342459</v>
      </c>
      <c r="C8" s="457">
        <v>1.5069859191124668</v>
      </c>
      <c r="D8" s="457">
        <v>0</v>
      </c>
      <c r="E8" s="457">
        <v>2.355</v>
      </c>
      <c r="F8" s="457">
        <v>0.52333333333333343</v>
      </c>
      <c r="G8" s="457">
        <v>2.1980000000000004</v>
      </c>
      <c r="H8" s="458">
        <v>7.1191214564092249</v>
      </c>
      <c r="J8" s="459"/>
      <c r="K8" s="460"/>
      <c r="L8" s="461"/>
      <c r="N8" s="459"/>
      <c r="O8" s="460"/>
      <c r="P8" s="461"/>
    </row>
    <row r="9" spans="1:16" x14ac:dyDescent="0.35">
      <c r="A9" s="456" t="s">
        <v>1217</v>
      </c>
      <c r="B9" s="457">
        <v>1.8331137069578529</v>
      </c>
      <c r="C9" s="457">
        <v>3.5173475698858687</v>
      </c>
      <c r="D9" s="457">
        <v>1.7584000000000004</v>
      </c>
      <c r="E9" s="457">
        <v>3.5324999999999998</v>
      </c>
      <c r="F9" s="457">
        <v>0.87222222222222245</v>
      </c>
      <c r="G9" s="457">
        <v>0</v>
      </c>
      <c r="H9" s="458">
        <v>11.513583499065943</v>
      </c>
      <c r="J9" s="462"/>
      <c r="K9" s="460"/>
      <c r="L9" s="461"/>
      <c r="N9" s="462"/>
      <c r="O9" s="460"/>
      <c r="P9" s="461"/>
    </row>
    <row r="10" spans="1:16" x14ac:dyDescent="0.35">
      <c r="A10" s="456" t="s">
        <v>1218</v>
      </c>
      <c r="B10" s="457">
        <v>0</v>
      </c>
      <c r="C10" s="457">
        <v>1.1612478349372652</v>
      </c>
      <c r="D10" s="457">
        <v>0</v>
      </c>
      <c r="E10" s="457">
        <v>0</v>
      </c>
      <c r="F10" s="457">
        <v>1.0466666666666669</v>
      </c>
      <c r="G10" s="457">
        <v>0</v>
      </c>
      <c r="H10" s="458">
        <v>2.2079145016039323</v>
      </c>
      <c r="J10" s="462"/>
      <c r="K10" s="460"/>
      <c r="L10" s="461"/>
      <c r="N10" s="462"/>
      <c r="O10" s="460"/>
      <c r="P10" s="461"/>
    </row>
    <row r="11" spans="1:16" x14ac:dyDescent="0.35">
      <c r="A11" s="456" t="s">
        <v>1219</v>
      </c>
      <c r="B11" s="457">
        <v>5.7518178185124054</v>
      </c>
      <c r="C11" s="457">
        <v>7.5480837114647086</v>
      </c>
      <c r="D11" s="457">
        <v>1.7584000000000004</v>
      </c>
      <c r="E11" s="457">
        <v>0</v>
      </c>
      <c r="F11" s="457">
        <v>1.5700000000000003</v>
      </c>
      <c r="G11" s="457">
        <v>2.1980000000000004</v>
      </c>
      <c r="H11" s="458">
        <v>18.826301529977115</v>
      </c>
      <c r="J11" s="462"/>
      <c r="K11" s="460"/>
      <c r="L11" s="461"/>
      <c r="N11" s="462"/>
      <c r="O11" s="460"/>
      <c r="P11" s="461"/>
    </row>
    <row r="12" spans="1:16" x14ac:dyDescent="0.35">
      <c r="A12" s="456" t="s">
        <v>1220</v>
      </c>
      <c r="B12" s="457">
        <v>1.4787872445854007</v>
      </c>
      <c r="C12" s="457">
        <v>1.745518125907769</v>
      </c>
      <c r="D12" s="457">
        <v>1.7584000000000004</v>
      </c>
      <c r="E12" s="457">
        <v>0</v>
      </c>
      <c r="F12" s="457">
        <v>0.52333333333333343</v>
      </c>
      <c r="G12" s="457">
        <v>2.1980000000000004</v>
      </c>
      <c r="H12" s="458">
        <v>7.7040387038265035</v>
      </c>
      <c r="J12" s="462"/>
      <c r="K12" s="460"/>
      <c r="L12" s="461"/>
      <c r="N12" s="462"/>
      <c r="O12" s="460"/>
      <c r="P12" s="461"/>
    </row>
    <row r="13" spans="1:16" x14ac:dyDescent="0.35">
      <c r="A13" s="456" t="s">
        <v>1221</v>
      </c>
      <c r="B13" s="457">
        <v>1.1365735377132413</v>
      </c>
      <c r="C13" s="457">
        <v>1.6687487885263483</v>
      </c>
      <c r="D13" s="457">
        <v>2.2859200000000004</v>
      </c>
      <c r="E13" s="457">
        <v>5.8874999999999993</v>
      </c>
      <c r="F13" s="457">
        <v>1.2211111111111113</v>
      </c>
      <c r="G13" s="457">
        <v>2.1980000000000004</v>
      </c>
      <c r="H13" s="458">
        <v>14.397853437350701</v>
      </c>
      <c r="J13" s="462"/>
      <c r="K13" s="460"/>
      <c r="L13" s="461"/>
      <c r="N13" s="462"/>
      <c r="O13" s="460"/>
      <c r="P13" s="461"/>
    </row>
    <row r="14" spans="1:16" x14ac:dyDescent="0.35">
      <c r="A14" s="456" t="s">
        <v>1222</v>
      </c>
      <c r="B14" s="457">
        <v>4.0918628306363534</v>
      </c>
      <c r="C14" s="457">
        <v>4.5599942679316658</v>
      </c>
      <c r="D14" s="457">
        <v>3.5168000000000008</v>
      </c>
      <c r="E14" s="457">
        <v>2.355</v>
      </c>
      <c r="F14" s="457">
        <v>4.1866666666666683</v>
      </c>
      <c r="G14" s="457">
        <v>1.0990000000000002</v>
      </c>
      <c r="H14" s="458">
        <v>19.809323765234687</v>
      </c>
      <c r="J14" s="462"/>
      <c r="K14" s="460"/>
      <c r="L14" s="461"/>
      <c r="N14" s="462"/>
      <c r="O14" s="460"/>
      <c r="P14" s="461"/>
    </row>
    <row r="15" spans="1:16" x14ac:dyDescent="0.35">
      <c r="A15" s="456" t="s">
        <v>1223</v>
      </c>
      <c r="B15" s="457">
        <v>8.0584996613706483</v>
      </c>
      <c r="C15" s="457">
        <v>12.833337061304137</v>
      </c>
      <c r="D15" s="457">
        <v>2.2859200000000004</v>
      </c>
      <c r="E15" s="457">
        <v>3.5324999999999998</v>
      </c>
      <c r="F15" s="457">
        <v>1.9188888888888893</v>
      </c>
      <c r="G15" s="457">
        <v>2.1980000000000004</v>
      </c>
      <c r="H15" s="458">
        <v>30.827145611563676</v>
      </c>
      <c r="J15" s="462"/>
      <c r="K15" s="460"/>
      <c r="L15" s="461"/>
      <c r="N15" s="462"/>
      <c r="O15" s="460"/>
      <c r="P15" s="461"/>
    </row>
    <row r="16" spans="1:16" x14ac:dyDescent="0.35">
      <c r="A16" s="456" t="s">
        <v>1224</v>
      </c>
      <c r="B16" s="457">
        <v>0.52470981812379114</v>
      </c>
      <c r="C16" s="457">
        <v>0.79310164118273763</v>
      </c>
      <c r="D16" s="457">
        <v>0</v>
      </c>
      <c r="E16" s="457">
        <v>0</v>
      </c>
      <c r="F16" s="457">
        <v>0.34888888888888892</v>
      </c>
      <c r="G16" s="457">
        <v>1.0990000000000002</v>
      </c>
      <c r="H16" s="458">
        <v>2.7657003481954177</v>
      </c>
      <c r="J16" s="462"/>
      <c r="K16" s="460"/>
      <c r="L16" s="461"/>
      <c r="N16" s="462"/>
      <c r="O16" s="460"/>
      <c r="P16" s="461"/>
    </row>
    <row r="17" spans="1:19" x14ac:dyDescent="0.35">
      <c r="A17" s="456" t="s">
        <v>1225</v>
      </c>
      <c r="B17" s="457">
        <v>1.425656464908295</v>
      </c>
      <c r="C17" s="457">
        <v>1.9748219761844359</v>
      </c>
      <c r="D17" s="457">
        <v>0.5275200000000001</v>
      </c>
      <c r="E17" s="457">
        <v>0</v>
      </c>
      <c r="F17" s="457">
        <v>1.0466666666666669</v>
      </c>
      <c r="G17" s="457">
        <v>2.1980000000000004</v>
      </c>
      <c r="H17" s="458">
        <v>7.1726651077593981</v>
      </c>
      <c r="J17" s="462"/>
      <c r="K17" s="460"/>
      <c r="L17" s="461"/>
      <c r="N17" s="462"/>
      <c r="O17" s="460"/>
      <c r="P17" s="461"/>
    </row>
    <row r="18" spans="1:19" x14ac:dyDescent="0.35">
      <c r="A18" s="456" t="s">
        <v>1226</v>
      </c>
      <c r="B18" s="457">
        <v>4.1747454698452736E-2</v>
      </c>
      <c r="C18" s="457">
        <v>5.2847934962959101E-2</v>
      </c>
      <c r="D18" s="457">
        <v>0</v>
      </c>
      <c r="E18" s="457">
        <v>1.1775</v>
      </c>
      <c r="F18" s="457">
        <v>0.87222222222222245</v>
      </c>
      <c r="G18" s="457">
        <v>0</v>
      </c>
      <c r="H18" s="458">
        <v>2.1443176118836345</v>
      </c>
      <c r="J18" s="462"/>
      <c r="K18" s="460"/>
      <c r="L18" s="461"/>
      <c r="N18" s="462"/>
      <c r="O18" s="460"/>
      <c r="P18" s="461"/>
    </row>
    <row r="19" spans="1:19" x14ac:dyDescent="0.35">
      <c r="A19" s="456" t="s">
        <v>1227</v>
      </c>
      <c r="B19" s="457">
        <v>19.891362375910429</v>
      </c>
      <c r="C19" s="457">
        <v>13.081251649636197</v>
      </c>
      <c r="D19" s="457">
        <v>3.5168000000000008</v>
      </c>
      <c r="E19" s="457">
        <v>7.0649999999999995</v>
      </c>
      <c r="F19" s="457">
        <v>3.3144444444444456</v>
      </c>
      <c r="G19" s="457">
        <v>2.1980000000000004</v>
      </c>
      <c r="H19" s="458">
        <v>49.066858469991075</v>
      </c>
      <c r="J19" s="462"/>
      <c r="K19" s="460"/>
      <c r="L19" s="461"/>
      <c r="N19" s="462"/>
      <c r="O19" s="460"/>
      <c r="P19" s="461"/>
    </row>
    <row r="20" spans="1:19" outlineLevel="1" x14ac:dyDescent="0.35">
      <c r="A20" s="456" t="s">
        <v>1228</v>
      </c>
      <c r="B20" s="457">
        <v>3.5887783517708454</v>
      </c>
      <c r="C20" s="457">
        <v>1.9867600467768662</v>
      </c>
      <c r="D20" s="457">
        <v>0.5275200000000001</v>
      </c>
      <c r="E20" s="457">
        <v>0</v>
      </c>
      <c r="F20" s="457">
        <v>0.69777777777777783</v>
      </c>
      <c r="G20" s="457">
        <v>0</v>
      </c>
      <c r="H20" s="458">
        <v>6.8008361763254896</v>
      </c>
      <c r="J20" s="462"/>
      <c r="K20" s="460"/>
      <c r="L20" s="461"/>
      <c r="N20" s="462"/>
      <c r="O20" s="460"/>
      <c r="P20" s="461"/>
    </row>
    <row r="21" spans="1:19" outlineLevel="1" x14ac:dyDescent="0.35">
      <c r="A21" s="456" t="s">
        <v>1229</v>
      </c>
      <c r="B21" s="457">
        <v>0.46005180652976763</v>
      </c>
      <c r="C21" s="457">
        <v>0.22079226461955742</v>
      </c>
      <c r="D21" s="457">
        <v>0.5275200000000001</v>
      </c>
      <c r="E21" s="457">
        <v>0</v>
      </c>
      <c r="F21" s="457">
        <v>0.34888888888888892</v>
      </c>
      <c r="G21" s="457">
        <v>0</v>
      </c>
      <c r="H21" s="458">
        <v>1.5572529600382139</v>
      </c>
      <c r="J21" s="462"/>
      <c r="K21" s="460"/>
      <c r="L21" s="461"/>
      <c r="N21" s="462"/>
      <c r="O21" s="460"/>
      <c r="P21" s="461"/>
    </row>
    <row r="22" spans="1:19" outlineLevel="1" x14ac:dyDescent="0.35">
      <c r="A22" s="456" t="s">
        <v>1230</v>
      </c>
      <c r="B22" s="457">
        <v>2.2632321422033734</v>
      </c>
      <c r="C22" s="457">
        <v>11.42034762498491</v>
      </c>
      <c r="D22" s="457">
        <v>1.7584000000000004</v>
      </c>
      <c r="E22" s="457">
        <v>7.0650000000000004</v>
      </c>
      <c r="F22" s="457">
        <v>0.69777777777777783</v>
      </c>
      <c r="G22" s="457">
        <v>2.1980000000000004</v>
      </c>
      <c r="H22" s="458">
        <v>25.402757544966061</v>
      </c>
      <c r="J22" s="462"/>
      <c r="K22" s="460"/>
      <c r="L22" s="461"/>
      <c r="N22" s="462"/>
      <c r="O22" s="460"/>
      <c r="P22" s="461"/>
    </row>
    <row r="23" spans="1:19" x14ac:dyDescent="0.35">
      <c r="A23" s="456" t="s">
        <v>1231</v>
      </c>
      <c r="B23" s="457">
        <v>3.8680045821157307</v>
      </c>
      <c r="C23" s="457">
        <v>1.86881358258209</v>
      </c>
      <c r="D23" s="457">
        <v>1.7584000000000004</v>
      </c>
      <c r="E23" s="457">
        <v>0</v>
      </c>
      <c r="F23" s="457">
        <v>2.7911111111111118</v>
      </c>
      <c r="G23" s="457">
        <v>2.1980000000000004</v>
      </c>
      <c r="H23" s="458">
        <v>12.484329275808934</v>
      </c>
      <c r="J23" s="462"/>
      <c r="K23" s="460"/>
      <c r="L23" s="461"/>
      <c r="N23" s="462"/>
      <c r="O23" s="460"/>
      <c r="P23" s="461"/>
    </row>
    <row r="24" spans="1:19" x14ac:dyDescent="0.35">
      <c r="A24" s="456" t="s">
        <v>589</v>
      </c>
      <c r="B24" s="457">
        <v>54.95000000000001</v>
      </c>
      <c r="C24" s="457">
        <v>65.939999999999984</v>
      </c>
      <c r="D24" s="457">
        <v>21.980000000000008</v>
      </c>
      <c r="E24" s="457">
        <v>32.969999999999992</v>
      </c>
      <c r="F24" s="457">
        <v>21.98</v>
      </c>
      <c r="G24" s="457">
        <v>21.980000000000004</v>
      </c>
      <c r="H24" s="458">
        <v>219.8</v>
      </c>
      <c r="J24" s="463">
        <f>SUM(J8:J23)-J19</f>
        <v>0</v>
      </c>
      <c r="K24" s="464" t="e">
        <f t="shared" ref="K24" si="0">(H24-J24)/J24</f>
        <v>#DIV/0!</v>
      </c>
      <c r="L24" s="465">
        <f>(H24-J24)</f>
        <v>219.8</v>
      </c>
      <c r="N24" s="463">
        <f>SUM(N8:N23)-N19</f>
        <v>0</v>
      </c>
      <c r="O24" s="464" t="e">
        <f t="shared" ref="O24" si="1">(H24-N24)/N24</f>
        <v>#DIV/0!</v>
      </c>
      <c r="P24" s="465">
        <f t="shared" ref="P24" si="2">(H24-N24)</f>
        <v>219.8</v>
      </c>
      <c r="Q24" s="466"/>
    </row>
    <row r="25" spans="1:19" x14ac:dyDescent="0.35">
      <c r="J25" t="s">
        <v>777</v>
      </c>
      <c r="N25" t="s">
        <v>778</v>
      </c>
    </row>
    <row r="26" spans="1:19" x14ac:dyDescent="0.35">
      <c r="A26" s="450"/>
      <c r="B26" s="1062" t="s">
        <v>1232</v>
      </c>
      <c r="C26" s="1063" t="s">
        <v>1233</v>
      </c>
      <c r="D26" s="1063" t="s">
        <v>1233</v>
      </c>
      <c r="E26" s="1063" t="s">
        <v>1233</v>
      </c>
      <c r="F26" s="1063" t="s">
        <v>1233</v>
      </c>
      <c r="G26" s="1063" t="s">
        <v>1233</v>
      </c>
      <c r="H26" s="1064" t="s">
        <v>1233</v>
      </c>
      <c r="J26" s="1065" t="s">
        <v>780</v>
      </c>
      <c r="K26" s="1066"/>
      <c r="L26" s="893"/>
      <c r="N26" s="1065" t="s">
        <v>781</v>
      </c>
      <c r="O26" s="1066"/>
      <c r="P26" s="893"/>
      <c r="Q26"/>
    </row>
    <row r="27" spans="1:19" ht="26.5" x14ac:dyDescent="0.35">
      <c r="A27" s="452" t="s">
        <v>593</v>
      </c>
      <c r="B27" s="453" t="s">
        <v>782</v>
      </c>
      <c r="C27" s="453" t="s">
        <v>783</v>
      </c>
      <c r="D27" s="453" t="s">
        <v>509</v>
      </c>
      <c r="E27" s="453" t="s">
        <v>454</v>
      </c>
      <c r="F27" s="453" t="s">
        <v>784</v>
      </c>
      <c r="G27" s="453" t="s">
        <v>447</v>
      </c>
      <c r="H27" s="454" t="s">
        <v>589</v>
      </c>
      <c r="J27" s="455" t="s">
        <v>785</v>
      </c>
      <c r="K27" s="455" t="s">
        <v>786</v>
      </c>
      <c r="L27" s="455" t="s">
        <v>787</v>
      </c>
      <c r="N27" s="455" t="s">
        <v>788</v>
      </c>
      <c r="O27" s="455" t="s">
        <v>786</v>
      </c>
      <c r="P27" s="455" t="s">
        <v>787</v>
      </c>
      <c r="Q27"/>
    </row>
    <row r="28" spans="1:19" x14ac:dyDescent="0.35">
      <c r="A28" s="456" t="s">
        <v>1216</v>
      </c>
      <c r="B28" s="457">
        <v>0.53580220396342459</v>
      </c>
      <c r="C28" s="457">
        <v>1.5069859191124668</v>
      </c>
      <c r="D28" s="457">
        <v>0</v>
      </c>
      <c r="E28" s="457">
        <v>2.355</v>
      </c>
      <c r="F28" s="457">
        <v>0.52333333333333343</v>
      </c>
      <c r="G28" s="457">
        <v>2.1980000000000004</v>
      </c>
      <c r="H28" s="458">
        <f>SUM(B28:G28)</f>
        <v>7.1191214564092249</v>
      </c>
      <c r="J28" s="459"/>
      <c r="K28" s="460"/>
      <c r="L28" s="461"/>
      <c r="N28" s="459"/>
      <c r="O28" s="460"/>
      <c r="P28" s="461"/>
      <c r="Q28"/>
    </row>
    <row r="29" spans="1:19" x14ac:dyDescent="0.35">
      <c r="A29" s="456" t="s">
        <v>1217</v>
      </c>
      <c r="B29" s="457">
        <v>1.8331137069578529</v>
      </c>
      <c r="C29" s="457">
        <v>3.5173475698858687</v>
      </c>
      <c r="D29" s="457">
        <v>1.7584000000000004</v>
      </c>
      <c r="E29" s="457">
        <v>3.5324999999999998</v>
      </c>
      <c r="F29" s="457">
        <v>0.87222222222222245</v>
      </c>
      <c r="G29" s="457">
        <v>0</v>
      </c>
      <c r="H29" s="458">
        <f t="shared" ref="H29:H44" si="3">SUM(B29:G29)</f>
        <v>11.513583499065943</v>
      </c>
      <c r="J29" s="462"/>
      <c r="K29" s="460"/>
      <c r="L29" s="461"/>
      <c r="N29" s="462"/>
      <c r="O29" s="460"/>
      <c r="P29" s="461"/>
      <c r="Q29"/>
      <c r="R29" t="s">
        <v>577</v>
      </c>
      <c r="S29" s="467">
        <v>0.25</v>
      </c>
    </row>
    <row r="30" spans="1:19" x14ac:dyDescent="0.35">
      <c r="A30" s="456" t="s">
        <v>1218</v>
      </c>
      <c r="B30" s="457">
        <v>0</v>
      </c>
      <c r="C30" s="457">
        <v>1.1612478349372652</v>
      </c>
      <c r="D30" s="457">
        <v>0</v>
      </c>
      <c r="E30" s="457">
        <v>0</v>
      </c>
      <c r="F30" s="457">
        <v>1.0466666666666669</v>
      </c>
      <c r="G30" s="457">
        <v>0</v>
      </c>
      <c r="H30" s="458">
        <f t="shared" si="3"/>
        <v>2.2079145016039323</v>
      </c>
      <c r="J30" s="462"/>
      <c r="K30" s="460"/>
      <c r="L30" s="461"/>
      <c r="N30" s="462"/>
      <c r="O30" s="460"/>
      <c r="P30" s="461"/>
      <c r="Q30"/>
      <c r="R30" t="s">
        <v>579</v>
      </c>
      <c r="S30" s="467">
        <v>0.3</v>
      </c>
    </row>
    <row r="31" spans="1:19" x14ac:dyDescent="0.35">
      <c r="A31" s="456" t="s">
        <v>1219</v>
      </c>
      <c r="B31" s="457">
        <v>5.7518178185124054</v>
      </c>
      <c r="C31" s="457">
        <v>7.5480837114647086</v>
      </c>
      <c r="D31" s="457">
        <v>1.7584000000000004</v>
      </c>
      <c r="E31" s="457">
        <v>0</v>
      </c>
      <c r="F31" s="457">
        <v>1.5700000000000003</v>
      </c>
      <c r="G31" s="457">
        <v>2.1980000000000004</v>
      </c>
      <c r="H31" s="458">
        <f t="shared" si="3"/>
        <v>18.826301529977115</v>
      </c>
      <c r="J31" s="462"/>
      <c r="K31" s="460"/>
      <c r="L31" s="461"/>
      <c r="N31" s="462"/>
      <c r="O31" s="460"/>
      <c r="P31" s="461"/>
      <c r="Q31"/>
      <c r="R31" t="s">
        <v>581</v>
      </c>
      <c r="S31" s="467">
        <v>0.1</v>
      </c>
    </row>
    <row r="32" spans="1:19" x14ac:dyDescent="0.35">
      <c r="A32" s="456" t="s">
        <v>1220</v>
      </c>
      <c r="B32" s="457">
        <v>1.4787872445854007</v>
      </c>
      <c r="C32" s="457">
        <v>1.745518125907769</v>
      </c>
      <c r="D32" s="457">
        <v>1.7584000000000004</v>
      </c>
      <c r="E32" s="457">
        <v>0</v>
      </c>
      <c r="F32" s="457">
        <v>0.52333333333333343</v>
      </c>
      <c r="G32" s="457">
        <v>2.1980000000000004</v>
      </c>
      <c r="H32" s="458">
        <f t="shared" si="3"/>
        <v>7.7040387038265035</v>
      </c>
      <c r="J32" s="462"/>
      <c r="K32" s="460"/>
      <c r="L32" s="461"/>
      <c r="N32" s="462"/>
      <c r="O32" s="460"/>
      <c r="P32" s="461"/>
      <c r="Q32"/>
      <c r="R32" t="s">
        <v>454</v>
      </c>
      <c r="S32" s="467">
        <v>0.15</v>
      </c>
    </row>
    <row r="33" spans="1:19" x14ac:dyDescent="0.35">
      <c r="A33" s="456" t="s">
        <v>1221</v>
      </c>
      <c r="B33" s="457">
        <v>1.1365735377132413</v>
      </c>
      <c r="C33" s="457">
        <v>1.6687487885263483</v>
      </c>
      <c r="D33" s="457">
        <v>2.2859200000000004</v>
      </c>
      <c r="E33" s="457">
        <v>5.8874999999999993</v>
      </c>
      <c r="F33" s="457">
        <v>1.2211111111111113</v>
      </c>
      <c r="G33" s="457">
        <v>2.1980000000000004</v>
      </c>
      <c r="H33" s="458">
        <f t="shared" si="3"/>
        <v>14.397853437350701</v>
      </c>
      <c r="J33" s="462"/>
      <c r="K33" s="460"/>
      <c r="L33" s="461"/>
      <c r="N33" s="462"/>
      <c r="O33" s="460"/>
      <c r="P33" s="461"/>
      <c r="Q33"/>
      <c r="R33" t="s">
        <v>584</v>
      </c>
      <c r="S33" s="467">
        <v>0.1</v>
      </c>
    </row>
    <row r="34" spans="1:19" x14ac:dyDescent="0.35">
      <c r="A34" s="456" t="s">
        <v>1222</v>
      </c>
      <c r="B34" s="457">
        <v>4.0918628306363534</v>
      </c>
      <c r="C34" s="457">
        <v>4.5599942679316658</v>
      </c>
      <c r="D34" s="457">
        <v>3.5168000000000008</v>
      </c>
      <c r="E34" s="457">
        <v>2.355</v>
      </c>
      <c r="F34" s="457">
        <v>4.1866666666666683</v>
      </c>
      <c r="G34" s="457">
        <v>1.0990000000000002</v>
      </c>
      <c r="H34" s="458">
        <f t="shared" si="3"/>
        <v>19.809323765234687</v>
      </c>
      <c r="J34" s="462"/>
      <c r="K34" s="460"/>
      <c r="L34" s="461"/>
      <c r="N34" s="462"/>
      <c r="O34" s="460"/>
      <c r="P34" s="461"/>
      <c r="Q34"/>
      <c r="R34" t="s">
        <v>587</v>
      </c>
      <c r="S34" s="467">
        <v>0.1</v>
      </c>
    </row>
    <row r="35" spans="1:19" x14ac:dyDescent="0.35">
      <c r="A35" s="456" t="s">
        <v>1223</v>
      </c>
      <c r="B35" s="457">
        <v>8.0584996613706483</v>
      </c>
      <c r="C35" s="457">
        <v>12.833337061304137</v>
      </c>
      <c r="D35" s="457">
        <v>2.2859200000000004</v>
      </c>
      <c r="E35" s="457">
        <v>3.5324999999999998</v>
      </c>
      <c r="F35" s="457">
        <v>1.9188888888888893</v>
      </c>
      <c r="G35" s="457">
        <v>2.1980000000000004</v>
      </c>
      <c r="H35" s="458">
        <f t="shared" si="3"/>
        <v>30.827145611563676</v>
      </c>
      <c r="J35" s="462"/>
      <c r="K35" s="460"/>
      <c r="L35" s="461"/>
      <c r="N35" s="462"/>
      <c r="O35" s="460"/>
      <c r="P35" s="461"/>
      <c r="Q35"/>
    </row>
    <row r="36" spans="1:19" x14ac:dyDescent="0.35">
      <c r="A36" s="456" t="s">
        <v>1224</v>
      </c>
      <c r="B36" s="457">
        <v>0.52470981812379114</v>
      </c>
      <c r="C36" s="457">
        <v>0.79310164118273763</v>
      </c>
      <c r="D36" s="457">
        <v>0</v>
      </c>
      <c r="E36" s="457">
        <v>0</v>
      </c>
      <c r="F36" s="457">
        <v>0.34888888888888892</v>
      </c>
      <c r="G36" s="457">
        <v>1.0990000000000002</v>
      </c>
      <c r="H36" s="458">
        <f t="shared" si="3"/>
        <v>2.7657003481954177</v>
      </c>
      <c r="J36" s="462"/>
      <c r="K36" s="460"/>
      <c r="L36" s="461"/>
      <c r="N36" s="462"/>
      <c r="O36" s="460"/>
      <c r="P36" s="461"/>
      <c r="Q36"/>
    </row>
    <row r="37" spans="1:19" x14ac:dyDescent="0.35">
      <c r="A37" s="456" t="s">
        <v>1225</v>
      </c>
      <c r="B37" s="457">
        <v>1.425656464908295</v>
      </c>
      <c r="C37" s="457">
        <v>1.9748219761844359</v>
      </c>
      <c r="D37" s="457">
        <v>0.5275200000000001</v>
      </c>
      <c r="E37" s="457">
        <v>0</v>
      </c>
      <c r="F37" s="457">
        <v>1.0466666666666669</v>
      </c>
      <c r="G37" s="457">
        <v>2.1980000000000004</v>
      </c>
      <c r="H37" s="458">
        <f t="shared" si="3"/>
        <v>7.1726651077593981</v>
      </c>
      <c r="J37" s="462"/>
      <c r="K37" s="460"/>
      <c r="L37" s="461"/>
      <c r="N37" s="462"/>
      <c r="O37" s="460"/>
      <c r="P37" s="461"/>
      <c r="Q37"/>
    </row>
    <row r="38" spans="1:19" x14ac:dyDescent="0.35">
      <c r="A38" s="456" t="s">
        <v>1226</v>
      </c>
      <c r="B38" s="457">
        <v>4.1747454698452736E-2</v>
      </c>
      <c r="C38" s="457">
        <v>5.2847934962959101E-2</v>
      </c>
      <c r="D38" s="457">
        <v>0</v>
      </c>
      <c r="E38" s="457">
        <v>1.1775</v>
      </c>
      <c r="F38" s="457">
        <v>0.87222222222222245</v>
      </c>
      <c r="G38" s="457">
        <v>0</v>
      </c>
      <c r="H38" s="458">
        <f t="shared" si="3"/>
        <v>2.1443176118836345</v>
      </c>
      <c r="J38" s="462"/>
      <c r="K38" s="460"/>
      <c r="L38" s="461"/>
      <c r="N38" s="462"/>
      <c r="O38" s="460"/>
      <c r="P38" s="461"/>
      <c r="Q38"/>
    </row>
    <row r="39" spans="1:19" hidden="1" x14ac:dyDescent="0.35">
      <c r="A39" s="456" t="s">
        <v>1227</v>
      </c>
      <c r="B39" s="457">
        <v>19.891362375910429</v>
      </c>
      <c r="C39" s="457">
        <v>13.081251649636197</v>
      </c>
      <c r="D39" s="457">
        <v>3.5168000000000008</v>
      </c>
      <c r="E39" s="457">
        <v>7.0649999999999995</v>
      </c>
      <c r="F39" s="457">
        <v>3.3144444444444456</v>
      </c>
      <c r="G39" s="457">
        <v>2.1980000000000004</v>
      </c>
      <c r="H39" s="458">
        <f t="shared" si="3"/>
        <v>49.066858469991075</v>
      </c>
      <c r="J39" s="462"/>
      <c r="K39" s="460"/>
      <c r="L39" s="461"/>
      <c r="N39" s="462"/>
      <c r="O39" s="460"/>
      <c r="P39" s="461"/>
      <c r="Q39"/>
    </row>
    <row r="40" spans="1:19" x14ac:dyDescent="0.35">
      <c r="A40" s="456" t="s">
        <v>1228</v>
      </c>
      <c r="B40" s="457">
        <v>3.5887783517708454</v>
      </c>
      <c r="C40" s="457">
        <v>1.9867600467768662</v>
      </c>
      <c r="D40" s="457">
        <v>0.5275200000000001</v>
      </c>
      <c r="E40" s="457">
        <v>0</v>
      </c>
      <c r="F40" s="457">
        <v>0.69777777777777783</v>
      </c>
      <c r="G40" s="457">
        <v>0</v>
      </c>
      <c r="H40" s="458">
        <f t="shared" si="3"/>
        <v>6.8008361763254896</v>
      </c>
      <c r="J40" s="462"/>
      <c r="K40" s="460"/>
      <c r="L40" s="461"/>
      <c r="N40" s="462"/>
      <c r="O40" s="460"/>
      <c r="P40" s="461"/>
      <c r="Q40"/>
    </row>
    <row r="41" spans="1:19" x14ac:dyDescent="0.35">
      <c r="A41" s="456" t="s">
        <v>1229</v>
      </c>
      <c r="B41" s="457">
        <v>0.46005180652976763</v>
      </c>
      <c r="C41" s="457">
        <v>0.22079226461955742</v>
      </c>
      <c r="D41" s="457">
        <v>0.5275200000000001</v>
      </c>
      <c r="E41" s="457">
        <v>0</v>
      </c>
      <c r="F41" s="457">
        <v>0.34888888888888892</v>
      </c>
      <c r="G41" s="457">
        <v>0</v>
      </c>
      <c r="H41" s="458">
        <f t="shared" si="3"/>
        <v>1.5572529600382139</v>
      </c>
      <c r="J41" s="462"/>
      <c r="K41" s="460"/>
      <c r="L41" s="461"/>
      <c r="N41" s="462"/>
      <c r="O41" s="460"/>
      <c r="P41" s="461"/>
      <c r="Q41"/>
    </row>
    <row r="42" spans="1:19" x14ac:dyDescent="0.35">
      <c r="A42" s="456" t="s">
        <v>1230</v>
      </c>
      <c r="B42" s="457">
        <v>2.2632321422033734</v>
      </c>
      <c r="C42" s="457">
        <v>11.42034762498491</v>
      </c>
      <c r="D42" s="457">
        <v>1.7584000000000004</v>
      </c>
      <c r="E42" s="457">
        <v>7.0650000000000004</v>
      </c>
      <c r="F42" s="457">
        <v>0.69777777777777783</v>
      </c>
      <c r="G42" s="457">
        <v>2.1980000000000004</v>
      </c>
      <c r="H42" s="458">
        <f t="shared" si="3"/>
        <v>25.402757544966061</v>
      </c>
      <c r="J42" s="462"/>
      <c r="K42" s="460"/>
      <c r="L42" s="461"/>
      <c r="N42" s="462"/>
      <c r="O42" s="460"/>
      <c r="P42" s="461"/>
      <c r="Q42"/>
    </row>
    <row r="43" spans="1:19" x14ac:dyDescent="0.35">
      <c r="A43" s="456" t="s">
        <v>1231</v>
      </c>
      <c r="B43" s="457">
        <v>3.8680045821157307</v>
      </c>
      <c r="C43" s="457">
        <v>1.86881358258209</v>
      </c>
      <c r="D43" s="457">
        <v>1.7584000000000004</v>
      </c>
      <c r="E43" s="457">
        <v>0</v>
      </c>
      <c r="F43" s="457">
        <v>2.7911111111111118</v>
      </c>
      <c r="G43" s="457">
        <v>2.1980000000000004</v>
      </c>
      <c r="H43" s="458">
        <f t="shared" si="3"/>
        <v>12.484329275808934</v>
      </c>
      <c r="J43" s="462"/>
      <c r="K43" s="460"/>
      <c r="L43" s="461"/>
      <c r="N43" s="462"/>
      <c r="O43" s="460"/>
      <c r="P43" s="461"/>
      <c r="Q43"/>
    </row>
    <row r="44" spans="1:19" x14ac:dyDescent="0.35">
      <c r="A44" s="456" t="s">
        <v>589</v>
      </c>
      <c r="B44" s="457">
        <f t="shared" ref="B44:G44" si="4">SUM(B28:B43)</f>
        <v>54.95000000000001</v>
      </c>
      <c r="C44" s="457">
        <f t="shared" si="4"/>
        <v>65.939999999999984</v>
      </c>
      <c r="D44" s="457">
        <f t="shared" si="4"/>
        <v>21.980000000000008</v>
      </c>
      <c r="E44" s="457">
        <f t="shared" si="4"/>
        <v>32.969999999999992</v>
      </c>
      <c r="F44" s="457">
        <f t="shared" si="4"/>
        <v>21.98</v>
      </c>
      <c r="G44" s="457">
        <f t="shared" si="4"/>
        <v>21.980000000000004</v>
      </c>
      <c r="H44" s="458">
        <f t="shared" si="3"/>
        <v>219.8</v>
      </c>
      <c r="J44" s="463">
        <f>SUM(J28:J43)-J39</f>
        <v>0</v>
      </c>
      <c r="K44" s="464" t="e">
        <f t="shared" ref="K44" si="5">(H44-J44)/J44</f>
        <v>#DIV/0!</v>
      </c>
      <c r="L44" s="465">
        <f>(H44-J44)</f>
        <v>219.8</v>
      </c>
      <c r="N44" s="463">
        <f>SUM(N28:N43)-N39</f>
        <v>0</v>
      </c>
      <c r="O44" s="464" t="e">
        <f t="shared" ref="O44" si="6">(H44-N44)/N44</f>
        <v>#DIV/0!</v>
      </c>
      <c r="P44" s="465">
        <f t="shared" ref="P44" si="7">(H44-N44)</f>
        <v>219.8</v>
      </c>
      <c r="Q44"/>
    </row>
    <row r="45" spans="1:19" x14ac:dyDescent="0.35">
      <c r="A45" s="926"/>
      <c r="B45" s="927"/>
      <c r="C45" s="927"/>
      <c r="D45" s="927"/>
      <c r="E45" s="927"/>
      <c r="F45" s="927"/>
      <c r="G45" s="927"/>
      <c r="H45" s="928"/>
      <c r="J45" s="929"/>
      <c r="K45" s="930"/>
      <c r="L45" s="931"/>
      <c r="N45" s="929"/>
      <c r="O45" s="930"/>
      <c r="P45" s="931"/>
      <c r="Q45"/>
    </row>
    <row r="46" spans="1:19" x14ac:dyDescent="0.35">
      <c r="J46" t="s">
        <v>777</v>
      </c>
      <c r="N46" t="s">
        <v>778</v>
      </c>
      <c r="Q46"/>
    </row>
    <row r="47" spans="1:19" hidden="1" x14ac:dyDescent="0.35">
      <c r="A47" s="450"/>
      <c r="B47" s="1062" t="s">
        <v>1234</v>
      </c>
      <c r="C47" s="1063" t="s">
        <v>1233</v>
      </c>
      <c r="D47" s="1063" t="s">
        <v>1233</v>
      </c>
      <c r="E47" s="1063" t="s">
        <v>1233</v>
      </c>
      <c r="F47" s="1063" t="s">
        <v>1233</v>
      </c>
      <c r="G47" s="1063" t="s">
        <v>1233</v>
      </c>
      <c r="H47" s="1064" t="s">
        <v>1233</v>
      </c>
      <c r="J47" s="1065" t="s">
        <v>780</v>
      </c>
      <c r="K47" s="1066"/>
      <c r="L47" s="893"/>
      <c r="N47" s="1065" t="s">
        <v>781</v>
      </c>
      <c r="O47" s="1066"/>
      <c r="P47" s="893"/>
      <c r="Q47"/>
    </row>
    <row r="48" spans="1:19" ht="26.5" hidden="1" x14ac:dyDescent="0.35">
      <c r="A48" s="452" t="s">
        <v>593</v>
      </c>
      <c r="B48" s="453" t="s">
        <v>782</v>
      </c>
      <c r="C48" s="453" t="s">
        <v>783</v>
      </c>
      <c r="D48" s="453" t="s">
        <v>509</v>
      </c>
      <c r="E48" s="453" t="s">
        <v>454</v>
      </c>
      <c r="F48" s="453" t="s">
        <v>784</v>
      </c>
      <c r="G48" s="453" t="s">
        <v>447</v>
      </c>
      <c r="H48" s="454" t="s">
        <v>589</v>
      </c>
      <c r="J48" s="455" t="s">
        <v>785</v>
      </c>
      <c r="K48" s="455" t="s">
        <v>786</v>
      </c>
      <c r="L48" s="455" t="s">
        <v>787</v>
      </c>
      <c r="N48" s="455" t="s">
        <v>788</v>
      </c>
      <c r="O48" s="455" t="s">
        <v>786</v>
      </c>
      <c r="P48" s="455" t="s">
        <v>787</v>
      </c>
      <c r="Q48"/>
    </row>
    <row r="49" spans="1:17" hidden="1" x14ac:dyDescent="0.35">
      <c r="A49" s="456" t="s">
        <v>1216</v>
      </c>
      <c r="B49" s="457"/>
      <c r="C49" s="457"/>
      <c r="D49" s="457"/>
      <c r="E49" s="457"/>
      <c r="F49" s="457"/>
      <c r="G49" s="457"/>
      <c r="H49" s="458">
        <f>SUM(B49:G49)</f>
        <v>0</v>
      </c>
      <c r="J49" s="459"/>
      <c r="K49" s="460"/>
      <c r="L49" s="461"/>
      <c r="N49" s="459"/>
      <c r="O49" s="460"/>
      <c r="P49" s="461"/>
      <c r="Q49"/>
    </row>
    <row r="50" spans="1:17" hidden="1" x14ac:dyDescent="0.35">
      <c r="A50" s="456" t="s">
        <v>1217</v>
      </c>
      <c r="B50" s="457"/>
      <c r="C50" s="457"/>
      <c r="D50" s="457"/>
      <c r="E50" s="457"/>
      <c r="F50" s="457"/>
      <c r="G50" s="457"/>
      <c r="H50" s="458">
        <f t="shared" ref="H50:H65" si="8">SUM(B50:G50)</f>
        <v>0</v>
      </c>
      <c r="J50" s="462"/>
      <c r="K50" s="460"/>
      <c r="L50" s="461"/>
      <c r="N50" s="462"/>
      <c r="O50" s="460"/>
      <c r="P50" s="461"/>
      <c r="Q50"/>
    </row>
    <row r="51" spans="1:17" hidden="1" x14ac:dyDescent="0.35">
      <c r="A51" s="456" t="s">
        <v>1218</v>
      </c>
      <c r="B51" s="457"/>
      <c r="C51" s="457"/>
      <c r="D51" s="457"/>
      <c r="E51" s="457"/>
      <c r="F51" s="457"/>
      <c r="G51" s="457"/>
      <c r="H51" s="458">
        <f t="shared" si="8"/>
        <v>0</v>
      </c>
      <c r="J51" s="462"/>
      <c r="K51" s="460"/>
      <c r="L51" s="461"/>
      <c r="N51" s="462"/>
      <c r="O51" s="460"/>
      <c r="P51" s="461"/>
      <c r="Q51"/>
    </row>
    <row r="52" spans="1:17" hidden="1" x14ac:dyDescent="0.35">
      <c r="A52" s="456" t="s">
        <v>1219</v>
      </c>
      <c r="B52" s="457"/>
      <c r="C52" s="457"/>
      <c r="D52" s="457"/>
      <c r="E52" s="457"/>
      <c r="F52" s="457"/>
      <c r="G52" s="457"/>
      <c r="H52" s="458">
        <f t="shared" si="8"/>
        <v>0</v>
      </c>
      <c r="J52" s="462"/>
      <c r="K52" s="460"/>
      <c r="L52" s="461"/>
      <c r="N52" s="462"/>
      <c r="O52" s="460"/>
      <c r="P52" s="461"/>
      <c r="Q52"/>
    </row>
    <row r="53" spans="1:17" hidden="1" x14ac:dyDescent="0.35">
      <c r="A53" s="456" t="s">
        <v>1220</v>
      </c>
      <c r="B53" s="457"/>
      <c r="C53" s="457"/>
      <c r="D53" s="457"/>
      <c r="E53" s="457"/>
      <c r="F53" s="457"/>
      <c r="G53" s="457"/>
      <c r="H53" s="458">
        <f t="shared" si="8"/>
        <v>0</v>
      </c>
      <c r="J53" s="462"/>
      <c r="K53" s="460"/>
      <c r="L53" s="461"/>
      <c r="N53" s="462"/>
      <c r="O53" s="460"/>
      <c r="P53" s="461"/>
      <c r="Q53"/>
    </row>
    <row r="54" spans="1:17" hidden="1" x14ac:dyDescent="0.35">
      <c r="A54" s="456" t="s">
        <v>1221</v>
      </c>
      <c r="B54" s="457"/>
      <c r="C54" s="457"/>
      <c r="D54" s="457"/>
      <c r="E54" s="457"/>
      <c r="F54" s="457"/>
      <c r="G54" s="457"/>
      <c r="H54" s="458">
        <f t="shared" si="8"/>
        <v>0</v>
      </c>
      <c r="J54" s="462"/>
      <c r="K54" s="460"/>
      <c r="L54" s="461"/>
      <c r="N54" s="462"/>
      <c r="O54" s="460"/>
      <c r="P54" s="461"/>
      <c r="Q54"/>
    </row>
    <row r="55" spans="1:17" hidden="1" x14ac:dyDescent="0.35">
      <c r="A55" s="456" t="s">
        <v>1222</v>
      </c>
      <c r="B55" s="457"/>
      <c r="C55" s="457"/>
      <c r="D55" s="457"/>
      <c r="E55" s="457"/>
      <c r="F55" s="457"/>
      <c r="G55" s="457"/>
      <c r="H55" s="458">
        <f t="shared" si="8"/>
        <v>0</v>
      </c>
      <c r="J55" s="462"/>
      <c r="K55" s="460"/>
      <c r="L55" s="461"/>
      <c r="N55" s="462"/>
      <c r="O55" s="460"/>
      <c r="P55" s="461"/>
      <c r="Q55"/>
    </row>
    <row r="56" spans="1:17" hidden="1" x14ac:dyDescent="0.35">
      <c r="A56" s="456" t="s">
        <v>1223</v>
      </c>
      <c r="B56" s="457"/>
      <c r="C56" s="457"/>
      <c r="D56" s="457"/>
      <c r="E56" s="457"/>
      <c r="F56" s="457"/>
      <c r="G56" s="457"/>
      <c r="H56" s="458">
        <f t="shared" si="8"/>
        <v>0</v>
      </c>
      <c r="J56" s="462"/>
      <c r="K56" s="460"/>
      <c r="L56" s="461"/>
      <c r="N56" s="462"/>
      <c r="O56" s="460"/>
      <c r="P56" s="461"/>
      <c r="Q56"/>
    </row>
    <row r="57" spans="1:17" hidden="1" x14ac:dyDescent="0.35">
      <c r="A57" s="456" t="s">
        <v>1224</v>
      </c>
      <c r="B57" s="457"/>
      <c r="C57" s="457"/>
      <c r="D57" s="457"/>
      <c r="E57" s="457"/>
      <c r="F57" s="457"/>
      <c r="G57" s="457"/>
      <c r="H57" s="458">
        <f t="shared" si="8"/>
        <v>0</v>
      </c>
      <c r="J57" s="462"/>
      <c r="K57" s="460"/>
      <c r="L57" s="461"/>
      <c r="N57" s="462"/>
      <c r="O57" s="460"/>
      <c r="P57" s="461"/>
      <c r="Q57"/>
    </row>
    <row r="58" spans="1:17" hidden="1" x14ac:dyDescent="0.35">
      <c r="A58" s="456" t="s">
        <v>1225</v>
      </c>
      <c r="B58" s="457"/>
      <c r="C58" s="457"/>
      <c r="D58" s="457"/>
      <c r="E58" s="457"/>
      <c r="F58" s="457"/>
      <c r="G58" s="457"/>
      <c r="H58" s="458">
        <f t="shared" si="8"/>
        <v>0</v>
      </c>
      <c r="J58" s="462"/>
      <c r="K58" s="460"/>
      <c r="L58" s="461"/>
      <c r="N58" s="462"/>
      <c r="O58" s="460"/>
      <c r="P58" s="461"/>
      <c r="Q58"/>
    </row>
    <row r="59" spans="1:17" hidden="1" x14ac:dyDescent="0.35">
      <c r="A59" s="456" t="s">
        <v>1226</v>
      </c>
      <c r="B59" s="457"/>
      <c r="C59" s="457"/>
      <c r="D59" s="457"/>
      <c r="E59" s="457"/>
      <c r="F59" s="457"/>
      <c r="G59" s="457"/>
      <c r="H59" s="458">
        <f t="shared" si="8"/>
        <v>0</v>
      </c>
      <c r="J59" s="462"/>
      <c r="K59" s="460"/>
      <c r="L59" s="461"/>
      <c r="N59" s="462"/>
      <c r="O59" s="460"/>
      <c r="P59" s="461"/>
      <c r="Q59"/>
    </row>
    <row r="60" spans="1:17" hidden="1" x14ac:dyDescent="0.35">
      <c r="A60" s="456" t="s">
        <v>1227</v>
      </c>
      <c r="B60" s="457"/>
      <c r="C60" s="457"/>
      <c r="D60" s="457"/>
      <c r="E60" s="457"/>
      <c r="F60" s="457"/>
      <c r="G60" s="457"/>
      <c r="H60" s="458">
        <f t="shared" si="8"/>
        <v>0</v>
      </c>
      <c r="J60" s="462"/>
      <c r="K60" s="460"/>
      <c r="L60" s="461"/>
      <c r="N60" s="462"/>
      <c r="O60" s="460"/>
      <c r="P60" s="461"/>
      <c r="Q60"/>
    </row>
    <row r="61" spans="1:17" hidden="1" x14ac:dyDescent="0.35">
      <c r="A61" s="456" t="s">
        <v>1228</v>
      </c>
      <c r="B61" s="457"/>
      <c r="C61" s="457"/>
      <c r="D61" s="457"/>
      <c r="E61" s="457"/>
      <c r="F61" s="457"/>
      <c r="G61" s="457"/>
      <c r="H61" s="458">
        <f t="shared" si="8"/>
        <v>0</v>
      </c>
      <c r="J61" s="462"/>
      <c r="K61" s="460"/>
      <c r="L61" s="461"/>
      <c r="N61" s="462"/>
      <c r="O61" s="460"/>
      <c r="P61" s="461"/>
      <c r="Q61"/>
    </row>
    <row r="62" spans="1:17" hidden="1" x14ac:dyDescent="0.35">
      <c r="A62" s="456" t="s">
        <v>1229</v>
      </c>
      <c r="B62" s="457"/>
      <c r="C62" s="457"/>
      <c r="D62" s="457"/>
      <c r="E62" s="457"/>
      <c r="F62" s="457"/>
      <c r="G62" s="457"/>
      <c r="H62" s="458">
        <f t="shared" si="8"/>
        <v>0</v>
      </c>
      <c r="J62" s="462"/>
      <c r="K62" s="460"/>
      <c r="L62" s="461"/>
      <c r="N62" s="462"/>
      <c r="O62" s="460"/>
      <c r="P62" s="461"/>
      <c r="Q62"/>
    </row>
    <row r="63" spans="1:17" hidden="1" x14ac:dyDescent="0.35">
      <c r="A63" s="456" t="s">
        <v>1230</v>
      </c>
      <c r="B63" s="457"/>
      <c r="C63" s="457"/>
      <c r="D63" s="457"/>
      <c r="E63" s="457"/>
      <c r="F63" s="457"/>
      <c r="G63" s="457"/>
      <c r="H63" s="458">
        <f t="shared" si="8"/>
        <v>0</v>
      </c>
      <c r="J63" s="462"/>
      <c r="K63" s="460"/>
      <c r="L63" s="461"/>
      <c r="N63" s="462"/>
      <c r="O63" s="460"/>
      <c r="P63" s="461"/>
      <c r="Q63"/>
    </row>
    <row r="64" spans="1:17" hidden="1" x14ac:dyDescent="0.35">
      <c r="A64" s="456" t="s">
        <v>1231</v>
      </c>
      <c r="B64" s="457"/>
      <c r="C64" s="457"/>
      <c r="D64" s="457"/>
      <c r="E64" s="457"/>
      <c r="F64" s="457"/>
      <c r="G64" s="457"/>
      <c r="H64" s="458">
        <f t="shared" si="8"/>
        <v>0</v>
      </c>
      <c r="J64" s="462"/>
      <c r="K64" s="460"/>
      <c r="L64" s="461"/>
      <c r="N64" s="462"/>
      <c r="O64" s="460"/>
      <c r="P64" s="461"/>
      <c r="Q64"/>
    </row>
    <row r="65" spans="1:17" hidden="1" x14ac:dyDescent="0.35">
      <c r="A65" s="456" t="s">
        <v>589</v>
      </c>
      <c r="B65" s="457">
        <f t="shared" ref="B65:G65" si="9">SUM(B49:B64)</f>
        <v>0</v>
      </c>
      <c r="C65" s="457">
        <f t="shared" si="9"/>
        <v>0</v>
      </c>
      <c r="D65" s="457">
        <f t="shared" si="9"/>
        <v>0</v>
      </c>
      <c r="E65" s="457">
        <f t="shared" si="9"/>
        <v>0</v>
      </c>
      <c r="F65" s="457">
        <f t="shared" si="9"/>
        <v>0</v>
      </c>
      <c r="G65" s="457">
        <f t="shared" si="9"/>
        <v>0</v>
      </c>
      <c r="H65" s="458">
        <f t="shared" si="8"/>
        <v>0</v>
      </c>
      <c r="J65" s="463">
        <f>SUM(J49:J64)-J60</f>
        <v>0</v>
      </c>
      <c r="K65" s="464" t="e">
        <f t="shared" ref="K65" si="10">(H65-J65)/J65</f>
        <v>#DIV/0!</v>
      </c>
      <c r="L65" s="465">
        <f>(H65-J65)</f>
        <v>0</v>
      </c>
      <c r="N65" s="463">
        <f>SUM(N49:N64)-N60</f>
        <v>0</v>
      </c>
      <c r="O65" s="464" t="e">
        <f t="shared" ref="O65" si="11">(H65-N65)/N65</f>
        <v>#DIV/0!</v>
      </c>
      <c r="P65" s="465">
        <f t="shared" ref="P65" si="12">(H65-N65)</f>
        <v>0</v>
      </c>
      <c r="Q65"/>
    </row>
    <row r="66" spans="1:17" hidden="1" x14ac:dyDescent="0.35">
      <c r="J66" s="450"/>
      <c r="K66" s="450"/>
      <c r="L66" s="450"/>
      <c r="N66" s="450"/>
      <c r="O66" s="450"/>
      <c r="P66" s="450"/>
      <c r="Q66"/>
    </row>
    <row r="67" spans="1:17" x14ac:dyDescent="0.35">
      <c r="H67" s="175"/>
      <c r="J67" s="450"/>
      <c r="K67" s="450"/>
      <c r="L67" s="450"/>
      <c r="N67" s="175"/>
      <c r="O67" s="448"/>
      <c r="P67" s="448"/>
      <c r="Q67"/>
    </row>
    <row r="68" spans="1:17" x14ac:dyDescent="0.35">
      <c r="J68" s="450"/>
      <c r="K68" s="450"/>
      <c r="L68" s="450"/>
      <c r="N68" s="450"/>
      <c r="O68" s="450"/>
      <c r="P68" s="450"/>
      <c r="Q68"/>
    </row>
    <row r="69" spans="1:17" x14ac:dyDescent="0.35">
      <c r="J69" s="450"/>
      <c r="K69" s="450"/>
      <c r="L69" s="450"/>
      <c r="N69" s="450"/>
      <c r="O69" s="450"/>
      <c r="P69" s="450"/>
      <c r="Q69"/>
    </row>
    <row r="70" spans="1:17" x14ac:dyDescent="0.35">
      <c r="J70" s="450"/>
      <c r="K70" s="450"/>
      <c r="L70" s="450"/>
      <c r="N70" s="450"/>
      <c r="O70" s="450"/>
      <c r="P70" s="450"/>
      <c r="Q70"/>
    </row>
    <row r="71" spans="1:17" x14ac:dyDescent="0.35">
      <c r="J71" s="450"/>
      <c r="K71" s="450"/>
      <c r="L71" s="450"/>
      <c r="N71" s="450"/>
      <c r="O71" s="450"/>
      <c r="P71" s="450"/>
      <c r="Q71"/>
    </row>
    <row r="72" spans="1:17" x14ac:dyDescent="0.35">
      <c r="J72" s="450"/>
      <c r="K72" s="450"/>
      <c r="L72" s="450"/>
      <c r="N72" s="450"/>
      <c r="O72" s="450"/>
      <c r="P72" s="450"/>
    </row>
    <row r="73" spans="1:17" x14ac:dyDescent="0.35">
      <c r="J73" s="450"/>
      <c r="K73" s="450"/>
      <c r="L73" s="450"/>
    </row>
    <row r="74" spans="1:17" x14ac:dyDescent="0.35">
      <c r="J74" s="450"/>
      <c r="K74" s="450"/>
      <c r="L74" s="450"/>
    </row>
    <row r="75" spans="1:17" x14ac:dyDescent="0.35">
      <c r="J75" s="450"/>
      <c r="K75" s="450"/>
      <c r="L75" s="450"/>
    </row>
    <row r="76" spans="1:17" x14ac:dyDescent="0.35">
      <c r="J76" s="450"/>
      <c r="K76" s="450"/>
      <c r="L76" s="450"/>
    </row>
    <row r="77" spans="1:17" x14ac:dyDescent="0.35">
      <c r="J77" s="450"/>
      <c r="K77" s="450"/>
      <c r="L77" s="450"/>
    </row>
  </sheetData>
  <mergeCells count="9">
    <mergeCell ref="B47:H47"/>
    <mergeCell ref="J47:K47"/>
    <mergeCell ref="N47:O47"/>
    <mergeCell ref="B6:H6"/>
    <mergeCell ref="J6:K6"/>
    <mergeCell ref="N6:O6"/>
    <mergeCell ref="B26:H26"/>
    <mergeCell ref="J26:K26"/>
    <mergeCell ref="N26:O26"/>
  </mergeCells>
  <conditionalFormatting sqref="K28:K39 K43 K23">
    <cfRule type="cellIs" dxfId="95" priority="95" operator="lessThan">
      <formula>$K$44</formula>
    </cfRule>
    <cfRule type="cellIs" dxfId="94" priority="96" operator="greaterThan">
      <formula>$K$44</formula>
    </cfRule>
  </conditionalFormatting>
  <conditionalFormatting sqref="K49:K60 K64">
    <cfRule type="cellIs" dxfId="93" priority="93" operator="lessThan">
      <formula>$K$65</formula>
    </cfRule>
    <cfRule type="cellIs" dxfId="92" priority="94" operator="greaterThan">
      <formula>$K$65</formula>
    </cfRule>
  </conditionalFormatting>
  <conditionalFormatting sqref="O28:O39 O43">
    <cfRule type="cellIs" dxfId="91" priority="91" operator="lessThan">
      <formula>$O$44</formula>
    </cfRule>
    <cfRule type="cellIs" dxfId="90" priority="92" operator="greaterThan">
      <formula>$O$44</formula>
    </cfRule>
  </conditionalFormatting>
  <conditionalFormatting sqref="O49:O60 O64">
    <cfRule type="cellIs" dxfId="89" priority="89" operator="lessThan">
      <formula>$O$65</formula>
    </cfRule>
    <cfRule type="cellIs" dxfId="88" priority="90" operator="greaterThan">
      <formula>$O$65</formula>
    </cfRule>
  </conditionalFormatting>
  <conditionalFormatting sqref="K40">
    <cfRule type="cellIs" dxfId="87" priority="87" operator="lessThan">
      <formula>$K$44</formula>
    </cfRule>
    <cfRule type="cellIs" dxfId="86" priority="88" operator="greaterThan">
      <formula>$K$44</formula>
    </cfRule>
  </conditionalFormatting>
  <conditionalFormatting sqref="K41">
    <cfRule type="cellIs" dxfId="85" priority="85" operator="lessThan">
      <formula>$K$44</formula>
    </cfRule>
    <cfRule type="cellIs" dxfId="84" priority="86" operator="greaterThan">
      <formula>$K$44</formula>
    </cfRule>
  </conditionalFormatting>
  <conditionalFormatting sqref="K42">
    <cfRule type="cellIs" dxfId="83" priority="83" operator="lessThan">
      <formula>$K$44</formula>
    </cfRule>
    <cfRule type="cellIs" dxfId="82" priority="84" operator="greaterThan">
      <formula>$K$44</formula>
    </cfRule>
  </conditionalFormatting>
  <conditionalFormatting sqref="O40">
    <cfRule type="cellIs" dxfId="81" priority="81" operator="lessThan">
      <formula>$O$44</formula>
    </cfRule>
    <cfRule type="cellIs" dxfId="80" priority="82" operator="greaterThan">
      <formula>$O$44</formula>
    </cfRule>
  </conditionalFormatting>
  <conditionalFormatting sqref="O41">
    <cfRule type="cellIs" dxfId="79" priority="79" operator="lessThan">
      <formula>$O$44</formula>
    </cfRule>
    <cfRule type="cellIs" dxfId="78" priority="80" operator="greaterThan">
      <formula>$O$44</formula>
    </cfRule>
  </conditionalFormatting>
  <conditionalFormatting sqref="O42">
    <cfRule type="cellIs" dxfId="77" priority="77" operator="lessThan">
      <formula>$O$44</formula>
    </cfRule>
    <cfRule type="cellIs" dxfId="76" priority="78" operator="greaterThan">
      <formula>$O$44</formula>
    </cfRule>
  </conditionalFormatting>
  <conditionalFormatting sqref="K61">
    <cfRule type="cellIs" dxfId="75" priority="75" operator="lessThan">
      <formula>$K$65</formula>
    </cfRule>
    <cfRule type="cellIs" dxfId="74" priority="76" operator="greaterThan">
      <formula>$K$65</formula>
    </cfRule>
  </conditionalFormatting>
  <conditionalFormatting sqref="K62">
    <cfRule type="cellIs" dxfId="73" priority="73" operator="lessThan">
      <formula>$K$65</formula>
    </cfRule>
    <cfRule type="cellIs" dxfId="72" priority="74" operator="greaterThan">
      <formula>$K$65</formula>
    </cfRule>
  </conditionalFormatting>
  <conditionalFormatting sqref="K63">
    <cfRule type="cellIs" dxfId="71" priority="71" operator="lessThan">
      <formula>$K$65</formula>
    </cfRule>
    <cfRule type="cellIs" dxfId="70" priority="72" operator="greaterThan">
      <formula>$K$65</formula>
    </cfRule>
  </conditionalFormatting>
  <conditionalFormatting sqref="O61">
    <cfRule type="cellIs" dxfId="69" priority="69" operator="lessThan">
      <formula>$O$65</formula>
    </cfRule>
    <cfRule type="cellIs" dxfId="68" priority="70" operator="greaterThan">
      <formula>$O$65</formula>
    </cfRule>
  </conditionalFormatting>
  <conditionalFormatting sqref="O62">
    <cfRule type="cellIs" dxfId="67" priority="67" operator="lessThan">
      <formula>$O$65</formula>
    </cfRule>
    <cfRule type="cellIs" dxfId="66" priority="68" operator="greaterThan">
      <formula>$O$65</formula>
    </cfRule>
  </conditionalFormatting>
  <conditionalFormatting sqref="O63">
    <cfRule type="cellIs" dxfId="65" priority="65" operator="lessThan">
      <formula>$O$65</formula>
    </cfRule>
    <cfRule type="cellIs" dxfId="64" priority="66" operator="greaterThan">
      <formula>$O$65</formula>
    </cfRule>
  </conditionalFormatting>
  <conditionalFormatting sqref="O20">
    <cfRule type="cellIs" dxfId="63" priority="61" operator="lessThan">
      <formula>$O$44</formula>
    </cfRule>
    <cfRule type="cellIs" dxfId="62" priority="62" operator="greaterThan">
      <formula>$O$44</formula>
    </cfRule>
  </conditionalFormatting>
  <conditionalFormatting sqref="O21">
    <cfRule type="cellIs" dxfId="61" priority="59" operator="lessThan">
      <formula>$O$44</formula>
    </cfRule>
    <cfRule type="cellIs" dxfId="60" priority="60" operator="greaterThan">
      <formula>$O$44</formula>
    </cfRule>
  </conditionalFormatting>
  <conditionalFormatting sqref="O22">
    <cfRule type="cellIs" dxfId="59" priority="57" operator="lessThan">
      <formula>$O$44</formula>
    </cfRule>
    <cfRule type="cellIs" dxfId="58" priority="58" operator="greaterThan">
      <formula>$O$44</formula>
    </cfRule>
  </conditionalFormatting>
  <conditionalFormatting sqref="O8:O23">
    <cfRule type="cellIs" dxfId="57" priority="63" operator="lessThan">
      <formula>$O$24</formula>
    </cfRule>
    <cfRule type="cellIs" dxfId="56" priority="64" operator="greaterThan">
      <formula>$O$24</formula>
    </cfRule>
  </conditionalFormatting>
  <conditionalFormatting sqref="P20">
    <cfRule type="cellIs" dxfId="55" priority="53" operator="lessThan">
      <formula>$O$44</formula>
    </cfRule>
    <cfRule type="cellIs" dxfId="54" priority="54" operator="greaterThan">
      <formula>$O$44</formula>
    </cfRule>
  </conditionalFormatting>
  <conditionalFormatting sqref="P21">
    <cfRule type="cellIs" dxfId="53" priority="51" operator="lessThan">
      <formula>$O$44</formula>
    </cfRule>
    <cfRule type="cellIs" dxfId="52" priority="52" operator="greaterThan">
      <formula>$O$44</formula>
    </cfRule>
  </conditionalFormatting>
  <conditionalFormatting sqref="P22">
    <cfRule type="cellIs" dxfId="51" priority="49" operator="lessThan">
      <formula>$O$44</formula>
    </cfRule>
    <cfRule type="cellIs" dxfId="50" priority="50" operator="greaterThan">
      <formula>$O$44</formula>
    </cfRule>
  </conditionalFormatting>
  <conditionalFormatting sqref="P8:P23">
    <cfRule type="cellIs" dxfId="49" priority="55" operator="lessThan">
      <formula>$O$24</formula>
    </cfRule>
    <cfRule type="cellIs" dxfId="48" priority="56" operator="greaterThan">
      <formula>$O$24</formula>
    </cfRule>
  </conditionalFormatting>
  <conditionalFormatting sqref="K8:K19">
    <cfRule type="cellIs" dxfId="47" priority="47" operator="lessThan">
      <formula>$K$44</formula>
    </cfRule>
    <cfRule type="cellIs" dxfId="46" priority="48" operator="greaterThan">
      <formula>$K$44</formula>
    </cfRule>
  </conditionalFormatting>
  <conditionalFormatting sqref="K20">
    <cfRule type="cellIs" dxfId="45" priority="45" operator="lessThan">
      <formula>$K$44</formula>
    </cfRule>
    <cfRule type="cellIs" dxfId="44" priority="46" operator="greaterThan">
      <formula>$K$44</formula>
    </cfRule>
  </conditionalFormatting>
  <conditionalFormatting sqref="K21">
    <cfRule type="cellIs" dxfId="43" priority="43" operator="lessThan">
      <formula>$K$44</formula>
    </cfRule>
    <cfRule type="cellIs" dxfId="42" priority="44" operator="greaterThan">
      <formula>$K$44</formula>
    </cfRule>
  </conditionalFormatting>
  <conditionalFormatting sqref="K22">
    <cfRule type="cellIs" dxfId="41" priority="41" operator="lessThan">
      <formula>$K$44</formula>
    </cfRule>
    <cfRule type="cellIs" dxfId="40" priority="42" operator="greaterThan">
      <formula>$K$44</formula>
    </cfRule>
  </conditionalFormatting>
  <conditionalFormatting sqref="L20">
    <cfRule type="cellIs" dxfId="39" priority="37" operator="lessThan">
      <formula>$O$44</formula>
    </cfRule>
    <cfRule type="cellIs" dxfId="38" priority="38" operator="greaterThan">
      <formula>$O$44</formula>
    </cfRule>
  </conditionalFormatting>
  <conditionalFormatting sqref="L21">
    <cfRule type="cellIs" dxfId="37" priority="35" operator="lessThan">
      <formula>$O$44</formula>
    </cfRule>
    <cfRule type="cellIs" dxfId="36" priority="36" operator="greaterThan">
      <formula>$O$44</formula>
    </cfRule>
  </conditionalFormatting>
  <conditionalFormatting sqref="L22">
    <cfRule type="cellIs" dxfId="35" priority="33" operator="lessThan">
      <formula>$O$44</formula>
    </cfRule>
    <cfRule type="cellIs" dxfId="34" priority="34" operator="greaterThan">
      <formula>$O$44</formula>
    </cfRule>
  </conditionalFormatting>
  <conditionalFormatting sqref="L8:L23">
    <cfRule type="cellIs" dxfId="33" priority="39" operator="lessThan">
      <formula>$O$24</formula>
    </cfRule>
    <cfRule type="cellIs" dxfId="32" priority="40" operator="greaterThan">
      <formula>$O$24</formula>
    </cfRule>
  </conditionalFormatting>
  <conditionalFormatting sqref="L61">
    <cfRule type="cellIs" dxfId="31" priority="13" operator="lessThan">
      <formula>$O$44</formula>
    </cfRule>
    <cfRule type="cellIs" dxfId="30" priority="14" operator="greaterThan">
      <formula>$O$44</formula>
    </cfRule>
  </conditionalFormatting>
  <conditionalFormatting sqref="L62">
    <cfRule type="cellIs" dxfId="29" priority="11" operator="lessThan">
      <formula>$O$44</formula>
    </cfRule>
    <cfRule type="cellIs" dxfId="28" priority="12" operator="greaterThan">
      <formula>$O$44</formula>
    </cfRule>
  </conditionalFormatting>
  <conditionalFormatting sqref="L63">
    <cfRule type="cellIs" dxfId="27" priority="9" operator="lessThan">
      <formula>$O$44</formula>
    </cfRule>
    <cfRule type="cellIs" dxfId="26" priority="10" operator="greaterThan">
      <formula>$O$44</formula>
    </cfRule>
  </conditionalFormatting>
  <conditionalFormatting sqref="P63">
    <cfRule type="cellIs" dxfId="25" priority="1" operator="lessThan">
      <formula>$O$44</formula>
    </cfRule>
    <cfRule type="cellIs" dxfId="24" priority="2" operator="greaterThan">
      <formula>$O$44</formula>
    </cfRule>
  </conditionalFormatting>
  <conditionalFormatting sqref="L40">
    <cfRule type="cellIs" dxfId="23" priority="29" operator="lessThan">
      <formula>$O$44</formula>
    </cfRule>
    <cfRule type="cellIs" dxfId="22" priority="30" operator="greaterThan">
      <formula>$O$44</formula>
    </cfRule>
  </conditionalFormatting>
  <conditionalFormatting sqref="L41">
    <cfRule type="cellIs" dxfId="21" priority="27" operator="lessThan">
      <formula>$O$44</formula>
    </cfRule>
    <cfRule type="cellIs" dxfId="20" priority="28" operator="greaterThan">
      <formula>$O$44</formula>
    </cfRule>
  </conditionalFormatting>
  <conditionalFormatting sqref="L42">
    <cfRule type="cellIs" dxfId="19" priority="25" operator="lessThan">
      <formula>$O$44</formula>
    </cfRule>
    <cfRule type="cellIs" dxfId="18" priority="26" operator="greaterThan">
      <formula>$O$44</formula>
    </cfRule>
  </conditionalFormatting>
  <conditionalFormatting sqref="L28:L43">
    <cfRule type="cellIs" dxfId="17" priority="31" operator="lessThan">
      <formula>$O$24</formula>
    </cfRule>
    <cfRule type="cellIs" dxfId="16" priority="32" operator="greaterThan">
      <formula>$O$24</formula>
    </cfRule>
  </conditionalFormatting>
  <conditionalFormatting sqref="P40">
    <cfRule type="cellIs" dxfId="15" priority="21" operator="lessThan">
      <formula>$O$44</formula>
    </cfRule>
    <cfRule type="cellIs" dxfId="14" priority="22" operator="greaterThan">
      <formula>$O$44</formula>
    </cfRule>
  </conditionalFormatting>
  <conditionalFormatting sqref="P41">
    <cfRule type="cellIs" dxfId="13" priority="19" operator="lessThan">
      <formula>$O$44</formula>
    </cfRule>
    <cfRule type="cellIs" dxfId="12" priority="20" operator="greaterThan">
      <formula>$O$44</formula>
    </cfRule>
  </conditionalFormatting>
  <conditionalFormatting sqref="P42">
    <cfRule type="cellIs" dxfId="11" priority="17" operator="lessThan">
      <formula>$O$44</formula>
    </cfRule>
    <cfRule type="cellIs" dxfId="10" priority="18" operator="greaterThan">
      <formula>$O$44</formula>
    </cfRule>
  </conditionalFormatting>
  <conditionalFormatting sqref="P28:P43">
    <cfRule type="cellIs" dxfId="9" priority="23" operator="lessThan">
      <formula>$O$24</formula>
    </cfRule>
    <cfRule type="cellIs" dxfId="8" priority="24" operator="greaterThan">
      <formula>$O$24</formula>
    </cfRule>
  </conditionalFormatting>
  <conditionalFormatting sqref="L49:L64">
    <cfRule type="cellIs" dxfId="7" priority="15" operator="lessThan">
      <formula>$O$24</formula>
    </cfRule>
    <cfRule type="cellIs" dxfId="6" priority="16" operator="greaterThan">
      <formula>$O$24</formula>
    </cfRule>
  </conditionalFormatting>
  <conditionalFormatting sqref="P61">
    <cfRule type="cellIs" dxfId="5" priority="5" operator="lessThan">
      <formula>$O$44</formula>
    </cfRule>
    <cfRule type="cellIs" dxfId="4" priority="6" operator="greaterThan">
      <formula>$O$44</formula>
    </cfRule>
  </conditionalFormatting>
  <conditionalFormatting sqref="P62">
    <cfRule type="cellIs" dxfId="3" priority="3" operator="lessThan">
      <formula>$O$44</formula>
    </cfRule>
    <cfRule type="cellIs" dxfId="2" priority="4" operator="greaterThan">
      <formula>$O$44</formula>
    </cfRule>
  </conditionalFormatting>
  <conditionalFormatting sqref="P49:P64">
    <cfRule type="cellIs" dxfId="1" priority="7" operator="lessThan">
      <formula>$O$24</formula>
    </cfRule>
    <cfRule type="cellIs" dxfId="0" priority="8" operator="greaterThan">
      <formula>$O$24</formula>
    </cfRule>
  </conditionalFormatting>
  <pageMargins left="0.7" right="0.7" top="0.75" bottom="0.75" header="0.3" footer="0.3"/>
  <pageSetup orientation="portrait" horizontalDpi="1200" verticalDpi="1200" r:id="rId1"/>
  <headerFooter>
    <oddHeader>&amp;L&amp;"Calibri"&amp;12&amp;K00B294Proprietary&amp;1#</oddHeader>
    <oddFooter>&amp;L&amp;"Times New Roman,Regular"&amp;12&amp;K00C0C0Proprietary</oddFooter>
    <evenFooter>&amp;L&amp;"Times New Roman,Regular"&amp;12&amp;K00C0C0Proprietary</evenFooter>
    <firstFooter>&amp;L&amp;"Times New Roman,Regular"&amp;12&amp;K00C0C0Proprietary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1F6A-6ECE-4763-93A2-A6E70FAD4332}">
  <dimension ref="B2:H16"/>
  <sheetViews>
    <sheetView workbookViewId="0">
      <selection activeCell="J22" sqref="J22"/>
    </sheetView>
  </sheetViews>
  <sheetFormatPr defaultRowHeight="14.5" x14ac:dyDescent="0.35"/>
  <cols>
    <col min="2" max="2" width="12.1796875" customWidth="1"/>
    <col min="3" max="3" width="9.1796875" bestFit="1" customWidth="1"/>
    <col min="4" max="4" width="11.453125" bestFit="1" customWidth="1"/>
    <col min="5" max="5" width="23.81640625" customWidth="1"/>
    <col min="6" max="6" width="8.7265625" style="967"/>
  </cols>
  <sheetData>
    <row r="2" spans="2:8" x14ac:dyDescent="0.35">
      <c r="H2" t="s">
        <v>1274</v>
      </c>
    </row>
    <row r="3" spans="2:8" x14ac:dyDescent="0.35">
      <c r="B3" t="s">
        <v>454</v>
      </c>
      <c r="C3" t="s">
        <v>1268</v>
      </c>
      <c r="D3" t="s">
        <v>1269</v>
      </c>
      <c r="E3" t="s">
        <v>1271</v>
      </c>
    </row>
    <row r="4" spans="2:8" x14ac:dyDescent="0.35">
      <c r="B4" t="s">
        <v>1261</v>
      </c>
      <c r="C4">
        <v>0</v>
      </c>
      <c r="D4">
        <v>1</v>
      </c>
      <c r="H4" t="s">
        <v>1278</v>
      </c>
    </row>
    <row r="5" spans="2:8" x14ac:dyDescent="0.35">
      <c r="B5" t="s">
        <v>201</v>
      </c>
      <c r="C5">
        <v>1</v>
      </c>
      <c r="D5">
        <v>3</v>
      </c>
    </row>
    <row r="6" spans="2:8" x14ac:dyDescent="0.35">
      <c r="B6" t="s">
        <v>1262</v>
      </c>
      <c r="C6">
        <v>1</v>
      </c>
      <c r="D6">
        <v>3</v>
      </c>
      <c r="E6" t="s">
        <v>1270</v>
      </c>
    </row>
    <row r="7" spans="2:8" x14ac:dyDescent="0.35">
      <c r="B7" t="s">
        <v>220</v>
      </c>
      <c r="C7">
        <v>0</v>
      </c>
      <c r="D7">
        <v>3</v>
      </c>
    </row>
    <row r="8" spans="2:8" x14ac:dyDescent="0.35">
      <c r="B8" t="s">
        <v>1263</v>
      </c>
      <c r="C8">
        <v>0</v>
      </c>
      <c r="D8">
        <v>4</v>
      </c>
    </row>
    <row r="9" spans="2:8" x14ac:dyDescent="0.35">
      <c r="B9" t="s">
        <v>33</v>
      </c>
      <c r="C9">
        <v>1</v>
      </c>
      <c r="D9">
        <v>3</v>
      </c>
    </row>
    <row r="10" spans="2:8" x14ac:dyDescent="0.35">
      <c r="B10" t="s">
        <v>1264</v>
      </c>
      <c r="C10">
        <v>2</v>
      </c>
      <c r="D10">
        <v>4</v>
      </c>
    </row>
    <row r="11" spans="2:8" ht="29" x14ac:dyDescent="0.35">
      <c r="B11" t="s">
        <v>1265</v>
      </c>
      <c r="C11">
        <v>2</v>
      </c>
      <c r="D11">
        <v>11</v>
      </c>
      <c r="E11" s="288" t="s">
        <v>1272</v>
      </c>
    </row>
    <row r="12" spans="2:8" x14ac:dyDescent="0.35">
      <c r="B12" t="s">
        <v>1266</v>
      </c>
      <c r="C12">
        <v>0</v>
      </c>
      <c r="D12">
        <v>4</v>
      </c>
      <c r="H12" t="s">
        <v>1280</v>
      </c>
    </row>
    <row r="13" spans="2:8" x14ac:dyDescent="0.35">
      <c r="B13" t="s">
        <v>628</v>
      </c>
      <c r="C13">
        <v>0</v>
      </c>
      <c r="D13">
        <v>1</v>
      </c>
    </row>
    <row r="14" spans="2:8" ht="29" x14ac:dyDescent="0.35">
      <c r="B14" t="s">
        <v>525</v>
      </c>
      <c r="C14">
        <v>3</v>
      </c>
      <c r="D14">
        <v>7</v>
      </c>
      <c r="E14" s="288" t="s">
        <v>1273</v>
      </c>
      <c r="H14" t="s">
        <v>1281</v>
      </c>
    </row>
    <row r="15" spans="2:8" x14ac:dyDescent="0.35">
      <c r="B15" t="s">
        <v>274</v>
      </c>
      <c r="C15">
        <v>1</v>
      </c>
      <c r="D15">
        <v>1</v>
      </c>
    </row>
    <row r="16" spans="2:8" x14ac:dyDescent="0.35">
      <c r="B16" t="s">
        <v>1267</v>
      </c>
      <c r="C16">
        <v>0</v>
      </c>
      <c r="D16">
        <v>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34</vt:i4>
      </vt:variant>
    </vt:vector>
  </HeadingPairs>
  <TitlesOfParts>
    <vt:vector size="59" baseType="lpstr">
      <vt:lpstr>Raw Forecasting NPS Data</vt:lpstr>
      <vt:lpstr>Raw Sales Forecasting Data</vt:lpstr>
      <vt:lpstr>Finance to Brand Mapping</vt:lpstr>
      <vt:lpstr>PGM Values</vt:lpstr>
      <vt:lpstr>NPS with launch Dates </vt:lpstr>
      <vt:lpstr>Tumor Priority</vt:lpstr>
      <vt:lpstr>Launch flag &amp; Life-Cycle Factor</vt:lpstr>
      <vt:lpstr>2024 launches</vt:lpstr>
      <vt:lpstr>MCODE Final Mapping</vt:lpstr>
      <vt:lpstr>2024 Unique Customer Segment</vt:lpstr>
      <vt:lpstr>2024 Consumer Focus</vt:lpstr>
      <vt:lpstr>2024 Competitive Landscape</vt:lpstr>
      <vt:lpstr>1. NPS Key &amp; Key-Lyn</vt:lpstr>
      <vt:lpstr>2.  Sales Data Key &amp; Key-Lyn</vt:lpstr>
      <vt:lpstr>Modelling Budget</vt:lpstr>
      <vt:lpstr>3.1 Model Assumptions &amp; Inputs</vt:lpstr>
      <vt:lpstr>3.2 Model Logic</vt:lpstr>
      <vt:lpstr>3.3 Membership Func. for Model</vt:lpstr>
      <vt:lpstr>4.1 Output - Key $ by Tumor</vt:lpstr>
      <vt:lpstr>Historical Splits</vt:lpstr>
      <vt:lpstr>4.2 output - HCP Consumer $</vt:lpstr>
      <vt:lpstr>5.1 Output-HCP Pan&amp;Mcode $</vt:lpstr>
      <vt:lpstr>Compare to last year</vt:lpstr>
      <vt:lpstr>4.1 Output - Key $ by Tumor-OLD</vt:lpstr>
      <vt:lpstr>NOTES</vt:lpstr>
      <vt:lpstr>AA2022consumer</vt:lpstr>
      <vt:lpstr>histsplit</vt:lpstr>
      <vt:lpstr>histsplit2</vt:lpstr>
      <vt:lpstr>launch</vt:lpstr>
      <vt:lpstr>V1_Xs</vt:lpstr>
      <vt:lpstr>V1_Ys</vt:lpstr>
      <vt:lpstr>V10_Xs</vt:lpstr>
      <vt:lpstr>V10_Ys</vt:lpstr>
      <vt:lpstr>V11_Xs</vt:lpstr>
      <vt:lpstr>V11_XYs</vt:lpstr>
      <vt:lpstr>V11_Ys</vt:lpstr>
      <vt:lpstr>V12_XYs</vt:lpstr>
      <vt:lpstr>V13_XYs</vt:lpstr>
      <vt:lpstr>V14_Xs</vt:lpstr>
      <vt:lpstr>V14_Ys</vt:lpstr>
      <vt:lpstr>V15_XYs</vt:lpstr>
      <vt:lpstr>V16_XYs</vt:lpstr>
      <vt:lpstr>V17_XYs</vt:lpstr>
      <vt:lpstr>V18_XYs</vt:lpstr>
      <vt:lpstr>V19_XYs</vt:lpstr>
      <vt:lpstr>V2_Xs</vt:lpstr>
      <vt:lpstr>V2_Ys</vt:lpstr>
      <vt:lpstr>V3_Xs</vt:lpstr>
      <vt:lpstr>V3_Ys</vt:lpstr>
      <vt:lpstr>V4_Xs</vt:lpstr>
      <vt:lpstr>V4_Ys</vt:lpstr>
      <vt:lpstr>V5_Xs</vt:lpstr>
      <vt:lpstr>V5_Ys</vt:lpstr>
      <vt:lpstr>V6_Xs</vt:lpstr>
      <vt:lpstr>V6_Ys</vt:lpstr>
      <vt:lpstr>V7_XYs</vt:lpstr>
      <vt:lpstr>V8_XYs</vt:lpstr>
      <vt:lpstr>V9_Xs</vt:lpstr>
      <vt:lpstr>V9_Ys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Banduri, Avijit</dc:creator>
  <cp:lastModifiedBy>Bealer, Blythe E</cp:lastModifiedBy>
  <cp:lastPrinted>2023-07-17T16:45:42Z</cp:lastPrinted>
  <dcterms:created xsi:type="dcterms:W3CDTF">2023-07-06T06:57:43Z</dcterms:created>
  <dcterms:modified xsi:type="dcterms:W3CDTF">2023-07-18T00:39:56Z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2023-07-14T16:01:53Z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bc5b3c7a-2624-40b1-8308-5076c14420c0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