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480" windowHeight="11640" activeTab="2"/>
  </bookViews>
  <sheets>
    <sheet name="2009" sheetId="1" r:id="rId1"/>
    <sheet name="2010" sheetId="6" r:id="rId2"/>
    <sheet name="2011" sheetId="3" r:id="rId3"/>
    <sheet name="Online_RA" sheetId="7" r:id="rId4"/>
  </sheets>
  <calcPr calcId="114210"/>
</workbook>
</file>

<file path=xl/calcChain.xml><?xml version="1.0" encoding="utf-8"?>
<calcChain xmlns="http://schemas.openxmlformats.org/spreadsheetml/2006/main">
  <c r="S10" i="3"/>
  <c r="X18"/>
  <c r="K18"/>
  <c r="G18"/>
  <c r="S14"/>
  <c r="O14"/>
  <c r="K14"/>
  <c r="G14"/>
  <c r="X10"/>
  <c r="O10"/>
  <c r="K10"/>
  <c r="G10"/>
  <c r="X6"/>
  <c r="S6"/>
  <c r="O6"/>
  <c r="K6"/>
  <c r="G6"/>
  <c r="AO14" i="6"/>
  <c r="AB22" i="3"/>
  <c r="AB23"/>
  <c r="BC22"/>
  <c r="BC18"/>
  <c r="BC14"/>
  <c r="BC10"/>
  <c r="BC6"/>
  <c r="G22"/>
  <c r="K22"/>
  <c r="O22"/>
  <c r="S22"/>
  <c r="S23"/>
  <c r="X22"/>
  <c r="O23"/>
  <c r="X14"/>
  <c r="BB23" i="6"/>
  <c r="AK18"/>
  <c r="AF18"/>
  <c r="AT22"/>
  <c r="AO22"/>
  <c r="AK22"/>
  <c r="AB22"/>
  <c r="X22"/>
  <c r="S22"/>
  <c r="O22"/>
  <c r="K22"/>
  <c r="G22"/>
  <c r="B22"/>
  <c r="K18"/>
  <c r="G18"/>
  <c r="AK14"/>
  <c r="AF14"/>
  <c r="S14"/>
  <c r="O14"/>
  <c r="K14"/>
  <c r="G14"/>
  <c r="AK10"/>
  <c r="AF10"/>
  <c r="S10"/>
  <c r="O10"/>
  <c r="K10"/>
  <c r="G10"/>
  <c r="B10"/>
  <c r="AK6"/>
  <c r="AF6"/>
  <c r="S6"/>
  <c r="O6"/>
  <c r="K6"/>
  <c r="G6"/>
  <c r="B6"/>
  <c r="B28" i="1"/>
  <c r="F28"/>
  <c r="J28"/>
  <c r="O28"/>
  <c r="S28"/>
  <c r="X28"/>
  <c r="AB28"/>
  <c r="AK28"/>
  <c r="AO28"/>
  <c r="AS28"/>
  <c r="X23" i="3"/>
  <c r="K23"/>
  <c r="BC23"/>
  <c r="BB27" i="1"/>
  <c r="BB17"/>
  <c r="BB13"/>
  <c r="BB9"/>
  <c r="BB5"/>
  <c r="J18"/>
  <c r="O18"/>
  <c r="S18"/>
  <c r="AF18"/>
  <c r="AK18"/>
  <c r="AO18"/>
  <c r="BC18"/>
  <c r="X14"/>
  <c r="BB29"/>
  <c r="AO14"/>
  <c r="AS14"/>
  <c r="O24"/>
  <c r="S24"/>
  <c r="S21"/>
  <c r="AK14"/>
  <c r="AF14"/>
  <c r="S14"/>
  <c r="O14"/>
  <c r="J14"/>
  <c r="F14"/>
  <c r="AS10"/>
  <c r="AO10"/>
  <c r="AK10"/>
  <c r="AF10"/>
  <c r="S10"/>
  <c r="O10"/>
  <c r="J10"/>
  <c r="F10"/>
  <c r="AO6"/>
  <c r="AK6"/>
  <c r="AF6"/>
  <c r="S6"/>
  <c r="O6"/>
  <c r="J6"/>
  <c r="F6"/>
  <c r="BD27" i="3"/>
  <c r="AB34"/>
  <c r="G34"/>
  <c r="AK32"/>
  <c r="AK33"/>
  <c r="AK34"/>
  <c r="AK35"/>
  <c r="AG32"/>
  <c r="AG33"/>
  <c r="AG34"/>
  <c r="AG35"/>
  <c r="X32"/>
  <c r="S32"/>
  <c r="AT32"/>
  <c r="AX32"/>
  <c r="AO32"/>
  <c r="AX33"/>
  <c r="AX34"/>
  <c r="AX35"/>
  <c r="AT33"/>
  <c r="AT34"/>
  <c r="AT35"/>
  <c r="AO33"/>
  <c r="AO34"/>
  <c r="AO35"/>
  <c r="X33"/>
  <c r="X34"/>
  <c r="S33"/>
  <c r="S34"/>
  <c r="O32"/>
  <c r="O33"/>
  <c r="O34"/>
  <c r="K32"/>
  <c r="BD33"/>
  <c r="AF34" i="6"/>
  <c r="X27"/>
  <c r="O27"/>
  <c r="S27"/>
  <c r="G34"/>
  <c r="K27"/>
  <c r="B27"/>
  <c r="B34"/>
  <c r="X26"/>
  <c r="O26"/>
  <c r="K26"/>
  <c r="G26"/>
  <c r="S26"/>
  <c r="B26"/>
  <c r="K33" i="3"/>
  <c r="K34"/>
  <c r="B34"/>
  <c r="BC26" i="6"/>
  <c r="BC27"/>
  <c r="K32"/>
  <c r="O32"/>
  <c r="O33"/>
  <c r="O34"/>
  <c r="S32"/>
  <c r="S33"/>
  <c r="S34"/>
  <c r="X32"/>
  <c r="AO32"/>
  <c r="AO33"/>
  <c r="AO34"/>
  <c r="AT32"/>
  <c r="AX32"/>
  <c r="AX33"/>
  <c r="AX34"/>
  <c r="X33"/>
  <c r="X34"/>
  <c r="AT33"/>
  <c r="AT34"/>
  <c r="AX35" i="1"/>
  <c r="AX36"/>
  <c r="AO35"/>
  <c r="AO36"/>
  <c r="AF34"/>
  <c r="AF35"/>
  <c r="AF36"/>
  <c r="AB34"/>
  <c r="AB35"/>
  <c r="AB36"/>
  <c r="S35"/>
  <c r="S36"/>
  <c r="O35"/>
  <c r="O36"/>
  <c r="AS35"/>
  <c r="AS36"/>
  <c r="AK35"/>
  <c r="AK36"/>
  <c r="J35"/>
  <c r="J36"/>
  <c r="BD14" i="3"/>
  <c r="BD22"/>
  <c r="BD18"/>
  <c r="BD10"/>
  <c r="BD6"/>
  <c r="BB35" i="6"/>
  <c r="B23" i="3"/>
  <c r="B35"/>
  <c r="BD34"/>
  <c r="BC32" i="6"/>
  <c r="K33"/>
  <c r="BC34" i="1"/>
  <c r="BC35"/>
  <c r="BC36"/>
  <c r="BD23" i="3"/>
  <c r="AX23" i="6"/>
  <c r="AX35"/>
  <c r="AB23"/>
  <c r="X23"/>
  <c r="X35"/>
  <c r="BB37" i="1"/>
  <c r="AX29"/>
  <c r="AX37"/>
  <c r="J29"/>
  <c r="J37"/>
  <c r="BC33" i="6"/>
  <c r="BC34"/>
  <c r="K34"/>
  <c r="BC10"/>
  <c r="AO23"/>
  <c r="AO35"/>
  <c r="S23"/>
  <c r="S35"/>
  <c r="AT23"/>
  <c r="AT35"/>
  <c r="S12"/>
  <c r="O12"/>
  <c r="S35" i="3"/>
  <c r="AB35"/>
  <c r="X35"/>
  <c r="O35"/>
  <c r="K35"/>
  <c r="BC14" i="6"/>
  <c r="AK23"/>
  <c r="BC22"/>
  <c r="BC6"/>
  <c r="BC18"/>
  <c r="B23"/>
  <c r="B35"/>
  <c r="G23"/>
  <c r="G35"/>
  <c r="AF23"/>
  <c r="AF35"/>
  <c r="K23"/>
  <c r="K35"/>
  <c r="O23"/>
  <c r="O35"/>
  <c r="G23" i="3"/>
  <c r="G35"/>
  <c r="BD35"/>
  <c r="BC21" i="1"/>
  <c r="X29"/>
  <c r="X37"/>
  <c r="AB29"/>
  <c r="AB37"/>
  <c r="F29"/>
  <c r="F37"/>
  <c r="BC6"/>
  <c r="BC14"/>
  <c r="AS29"/>
  <c r="AS37"/>
  <c r="BC24"/>
  <c r="BC23" i="6"/>
  <c r="BC35"/>
  <c r="BC28" i="1"/>
  <c r="B29"/>
  <c r="B37"/>
  <c r="BC10"/>
  <c r="O29"/>
  <c r="O37"/>
  <c r="AO29"/>
  <c r="AO37"/>
  <c r="S29"/>
  <c r="S37"/>
  <c r="AF29"/>
  <c r="AF37"/>
  <c r="AK29"/>
  <c r="AK37"/>
  <c r="BC29"/>
  <c r="BC37"/>
</calcChain>
</file>

<file path=xl/sharedStrings.xml><?xml version="1.0" encoding="utf-8"?>
<sst xmlns="http://schemas.openxmlformats.org/spreadsheetml/2006/main" count="175" uniqueCount="80">
  <si>
    <t>GRPs</t>
  </si>
  <si>
    <t>CostM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</si>
  <si>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</si>
  <si>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</si>
  <si>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</si>
  <si>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</si>
  <si>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</si>
  <si>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</si>
  <si>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</si>
  <si>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</si>
  <si>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</si>
  <si>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</si>
  <si>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</si>
  <si>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</si>
  <si>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Cable TV</t>
  </si>
  <si>
    <t>Local Newspaper</t>
  </si>
  <si>
    <t>National Magazine</t>
  </si>
  <si>
    <t>National Newspaper</t>
  </si>
  <si>
    <t>Network TV</t>
  </si>
  <si>
    <t>Spot TV</t>
  </si>
  <si>
    <t>Syndicated TV</t>
  </si>
  <si>
    <t>Nasonex 2009</t>
  </si>
  <si>
    <t>Nasonex 2011</t>
  </si>
  <si>
    <t>Cost ($000)</t>
  </si>
  <si>
    <t>Nasonex 2010</t>
  </si>
  <si>
    <t>TV</t>
  </si>
  <si>
    <t>Print</t>
  </si>
  <si>
    <t xml:space="preserve">    Network TV</t>
  </si>
  <si>
    <t>NASONEX</t>
  </si>
  <si>
    <t xml:space="preserve">Real Age </t>
  </si>
  <si>
    <t>Managing Nasal Allergies Condition Newsletter (Retention?)</t>
  </si>
  <si>
    <t xml:space="preserve">Acquisition Campaign </t>
  </si>
  <si>
    <t>Acquisition Campaign</t>
  </si>
  <si>
    <t xml:space="preserve">Follow Up </t>
  </si>
  <si>
    <t xml:space="preserve">Retention </t>
  </si>
  <si>
    <t>Timing</t>
  </si>
  <si>
    <t>3/17/09-5/05/09</t>
  </si>
  <si>
    <t>7/02/09-8/20/09</t>
  </si>
  <si>
    <t>8/27/09-10/15/09</t>
  </si>
  <si>
    <t>10/29/09-12/17/09</t>
  </si>
  <si>
    <t>3/23/10-4/20/10</t>
  </si>
  <si>
    <t>5/04/10-6/22-10</t>
  </si>
  <si>
    <t>5/10/11-6/7/11</t>
  </si>
  <si>
    <t>8/9/11-9/6/11*</t>
  </si>
  <si>
    <t xml:space="preserve">9/6 to year end </t>
  </si>
  <si>
    <t>8/9/11-9/6/11</t>
  </si>
  <si>
    <t>10/22/09-12/10/10</t>
  </si>
  <si>
    <t>3/17/10-3/30/10</t>
  </si>
  <si>
    <t>Audience Size</t>
  </si>
  <si>
    <t>Spend</t>
  </si>
  <si>
    <t xml:space="preserve">* The 147,000 Real Age email sent from 8/9-9/6, 2011 is a partial send of this program. 424,710 are continuing to be sent through the remained oer </t>
  </si>
  <si>
    <t xml:space="preserve"> </t>
  </si>
  <si>
    <t>Online</t>
  </si>
  <si>
    <t>Razorfish</t>
  </si>
  <si>
    <t xml:space="preserve">DraftFCB </t>
  </si>
  <si>
    <t>Jan-June 2010</t>
  </si>
  <si>
    <t xml:space="preserve"> Aug-10</t>
  </si>
  <si>
    <t>Impressions</t>
  </si>
  <si>
    <t>Available in November</t>
  </si>
  <si>
    <t xml:space="preserve">Mid Nov. </t>
  </si>
  <si>
    <t>Grey indicates Razorfish Program, Blue is Draftfcb.</t>
  </si>
  <si>
    <t>M:\HH\Respiratory\Nasonex\DTC\2011\Offline\NSX_ 2009-2011 activity</t>
  </si>
  <si>
    <t>Digital</t>
  </si>
  <si>
    <t xml:space="preserve">Razorfish Program: Data Not Available </t>
  </si>
  <si>
    <t>Real Age (Acquisition Campaign)</t>
  </si>
  <si>
    <t xml:space="preserve">Acquisition </t>
  </si>
  <si>
    <t>Sept</t>
  </si>
  <si>
    <t>Data available in Nov</t>
  </si>
  <si>
    <t>Data available in Dec</t>
  </si>
  <si>
    <t>Data available in Jan</t>
  </si>
  <si>
    <t xml:space="preserve">Follow up </t>
  </si>
  <si>
    <t>GRPS</t>
  </si>
  <si>
    <t xml:space="preserve">Cost </t>
  </si>
  <si>
    <t>Cost</t>
  </si>
  <si>
    <t xml:space="preserve">Offline Total Cost </t>
  </si>
  <si>
    <t xml:space="preserve">Grand Total (Offline and Online) Cost </t>
  </si>
  <si>
    <t xml:space="preserve"> Cost </t>
  </si>
  <si>
    <t>Grand Total (Offline and Online) Cost</t>
  </si>
  <si>
    <t xml:space="preserve">Online Total Cost </t>
  </si>
  <si>
    <t xml:space="preserve">Total Offline Cost </t>
  </si>
</sst>
</file>

<file path=xl/styles.xml><?xml version="1.0" encoding="utf-8"?>
<styleSheet xmlns="http://schemas.openxmlformats.org/spreadsheetml/2006/main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##"/>
    <numFmt numFmtId="166" formatCode="###"/>
    <numFmt numFmtId="167" formatCode="&quot;$&quot;##,###"/>
    <numFmt numFmtId="168" formatCode="&quot;$&quot;#,###"/>
    <numFmt numFmtId="169" formatCode="_(&quot;$&quot;* #,##0_);_(&quot;$&quot;* \(#,##0\);_(&quot;$&quot;* &quot;-&quot;??_);_(@_)"/>
    <numFmt numFmtId="170" formatCode="#"/>
    <numFmt numFmtId="171" formatCode="&quot;$&quot;##"/>
    <numFmt numFmtId="172" formatCode="_(* #,##0_);_(* \(#,##0\);_(* &quot;-&quot;??_);_(@_)"/>
  </numFmts>
  <fonts count="23">
    <font>
      <sz val="10"/>
      <color theme="1"/>
      <name val="Arial"/>
      <family val="2"/>
    </font>
    <font>
      <sz val="7"/>
      <color indexed="8"/>
      <name val="Arial"/>
      <family val="2"/>
    </font>
    <font>
      <sz val="5.5"/>
      <color indexed="8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sz val="10"/>
      <color indexed="8"/>
      <name val="Arial"/>
      <family val="2"/>
    </font>
    <font>
      <i/>
      <sz val="8.25"/>
      <color indexed="8"/>
      <name val="Arial"/>
      <family val="2"/>
    </font>
    <font>
      <b/>
      <sz val="10"/>
      <color indexed="8"/>
      <name val="Arial"/>
      <family val="2"/>
    </font>
    <font>
      <b/>
      <i/>
      <sz val="8.25"/>
      <color indexed="8"/>
      <name val="Arial"/>
      <family val="2"/>
    </font>
    <font>
      <b/>
      <i/>
      <u/>
      <sz val="8.25"/>
      <color indexed="8"/>
      <name val="Arial"/>
      <family val="2"/>
    </font>
    <font>
      <b/>
      <sz val="11"/>
      <color indexed="8"/>
      <name val="Arial"/>
      <family val="2"/>
    </font>
    <font>
      <sz val="10"/>
      <color indexed="10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1"/>
      <color indexed="56"/>
      <name val="Calibri"/>
      <family val="2"/>
    </font>
    <font>
      <sz val="10"/>
      <name val="Arial"/>
      <family val="2"/>
    </font>
    <font>
      <b/>
      <sz val="8.25"/>
      <color indexed="10"/>
      <name val="Arial"/>
      <family val="2"/>
    </font>
    <font>
      <b/>
      <sz val="10"/>
      <color indexed="10"/>
      <name val="Arial"/>
      <family val="2"/>
    </font>
    <font>
      <b/>
      <i/>
      <u/>
      <sz val="8.25"/>
      <name val="Arial"/>
      <family val="2"/>
    </font>
    <font>
      <b/>
      <sz val="8.25"/>
      <name val="Arial"/>
      <family val="2"/>
    </font>
    <font>
      <sz val="8.25"/>
      <name val="Arial"/>
      <family val="2"/>
    </font>
    <font>
      <b/>
      <sz val="10"/>
      <name val="Arial"/>
      <family val="2"/>
    </font>
    <font>
      <u/>
      <sz val="8.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137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hair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9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indexed="9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3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2" xfId="2" applyNumberFormat="1" applyFont="1" applyBorder="1"/>
    <xf numFmtId="169" fontId="0" fillId="0" borderId="3" xfId="2" applyNumberFormat="1" applyFont="1" applyBorder="1"/>
    <xf numFmtId="169" fontId="0" fillId="0" borderId="1" xfId="2" applyNumberFormat="1" applyFont="1" applyBorder="1"/>
    <xf numFmtId="169" fontId="0" fillId="0" borderId="0" xfId="2" applyNumberFormat="1" applyFont="1" applyBorder="1"/>
    <xf numFmtId="169" fontId="0" fillId="0" borderId="4" xfId="2" applyNumberFormat="1" applyFont="1" applyBorder="1"/>
    <xf numFmtId="169" fontId="0" fillId="0" borderId="5" xfId="2" applyNumberFormat="1" applyFont="1" applyBorder="1"/>
    <xf numFmtId="169" fontId="0" fillId="0" borderId="6" xfId="2" applyNumberFormat="1" applyFont="1" applyBorder="1"/>
    <xf numFmtId="167" fontId="0" fillId="0" borderId="0" xfId="0" applyNumberFormat="1"/>
    <xf numFmtId="168" fontId="0" fillId="0" borderId="0" xfId="0" applyNumberFormat="1"/>
    <xf numFmtId="0" fontId="0" fillId="0" borderId="7" xfId="0" applyBorder="1"/>
    <xf numFmtId="169" fontId="0" fillId="0" borderId="7" xfId="2" applyNumberFormat="1" applyFont="1" applyBorder="1"/>
    <xf numFmtId="169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9" fontId="0" fillId="0" borderId="9" xfId="2" applyNumberFormat="1" applyFont="1" applyBorder="1"/>
    <xf numFmtId="169" fontId="0" fillId="0" borderId="10" xfId="2" applyNumberFormat="1" applyFont="1" applyBorder="1"/>
    <xf numFmtId="169" fontId="0" fillId="0" borderId="11" xfId="2" applyNumberFormat="1" applyFont="1" applyBorder="1"/>
    <xf numFmtId="169" fontId="0" fillId="0" borderId="12" xfId="2" applyNumberFormat="1" applyFont="1" applyBorder="1"/>
    <xf numFmtId="0" fontId="9" fillId="0" borderId="14" xfId="0" applyNumberFormat="1" applyFont="1" applyBorder="1" applyAlignment="1">
      <alignment horizontal="right"/>
    </xf>
    <xf numFmtId="0" fontId="4" fillId="0" borderId="15" xfId="0" applyNumberFormat="1" applyFont="1" applyBorder="1" applyAlignment="1">
      <alignment horizontal="left"/>
    </xf>
    <xf numFmtId="0" fontId="4" fillId="0" borderId="16" xfId="0" applyNumberFormat="1" applyFont="1" applyBorder="1" applyAlignment="1">
      <alignment horizontal="left"/>
    </xf>
    <xf numFmtId="0" fontId="3" fillId="0" borderId="17" xfId="0" applyNumberFormat="1" applyFont="1" applyBorder="1" applyAlignment="1">
      <alignment horizontal="left"/>
    </xf>
    <xf numFmtId="0" fontId="3" fillId="0" borderId="15" xfId="0" applyNumberFormat="1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21" xfId="0" applyNumberFormat="1" applyFont="1" applyBorder="1" applyAlignment="1">
      <alignment horizontal="right"/>
    </xf>
    <xf numFmtId="0" fontId="7" fillId="0" borderId="22" xfId="0" applyFont="1" applyBorder="1"/>
    <xf numFmtId="164" fontId="4" fillId="0" borderId="23" xfId="0" applyNumberFormat="1" applyFont="1" applyBorder="1" applyAlignment="1">
      <alignment horizontal="right"/>
    </xf>
    <xf numFmtId="0" fontId="4" fillId="0" borderId="22" xfId="0" applyNumberFormat="1" applyFont="1" applyBorder="1" applyAlignment="1">
      <alignment horizontal="right"/>
    </xf>
    <xf numFmtId="166" fontId="4" fillId="0" borderId="23" xfId="0" applyNumberFormat="1" applyFont="1" applyBorder="1" applyAlignment="1">
      <alignment horizontal="right"/>
    </xf>
    <xf numFmtId="165" fontId="4" fillId="0" borderId="23" xfId="0" applyNumberFormat="1" applyFont="1" applyBorder="1" applyAlignment="1">
      <alignment horizontal="right"/>
    </xf>
    <xf numFmtId="0" fontId="4" fillId="0" borderId="23" xfId="0" applyNumberFormat="1" applyFont="1" applyBorder="1" applyAlignment="1">
      <alignment horizontal="right"/>
    </xf>
    <xf numFmtId="165" fontId="4" fillId="0" borderId="24" xfId="0" applyNumberFormat="1" applyFont="1" applyBorder="1" applyAlignment="1">
      <alignment horizontal="right"/>
    </xf>
    <xf numFmtId="3" fontId="7" fillId="0" borderId="25" xfId="0" applyNumberFormat="1" applyFont="1" applyBorder="1"/>
    <xf numFmtId="0" fontId="4" fillId="0" borderId="14" xfId="0" applyNumberFormat="1" applyFont="1" applyBorder="1" applyAlignment="1">
      <alignment horizontal="right"/>
    </xf>
    <xf numFmtId="0" fontId="7" fillId="0" borderId="15" xfId="0" applyFont="1" applyBorder="1"/>
    <xf numFmtId="167" fontId="4" fillId="0" borderId="26" xfId="0" applyNumberFormat="1" applyFont="1" applyBorder="1" applyAlignment="1">
      <alignment horizontal="right"/>
    </xf>
    <xf numFmtId="0" fontId="4" fillId="0" borderId="15" xfId="0" applyNumberFormat="1" applyFont="1" applyBorder="1" applyAlignment="1">
      <alignment horizontal="right"/>
    </xf>
    <xf numFmtId="168" fontId="4" fillId="0" borderId="17" xfId="0" applyNumberFormat="1" applyFont="1" applyBorder="1" applyAlignment="1">
      <alignment horizontal="right"/>
    </xf>
    <xf numFmtId="168" fontId="7" fillId="0" borderId="27" xfId="0" applyNumberFormat="1" applyFont="1" applyBorder="1"/>
    <xf numFmtId="0" fontId="4" fillId="0" borderId="26" xfId="0" applyNumberFormat="1" applyFont="1" applyBorder="1" applyAlignment="1">
      <alignment horizontal="left"/>
    </xf>
    <xf numFmtId="0" fontId="9" fillId="0" borderId="15" xfId="0" applyNumberFormat="1" applyFont="1" applyBorder="1" applyAlignment="1">
      <alignment horizontal="right"/>
    </xf>
    <xf numFmtId="0" fontId="4" fillId="0" borderId="27" xfId="0" applyNumberFormat="1" applyFont="1" applyFill="1" applyBorder="1" applyAlignment="1">
      <alignment horizontal="left"/>
    </xf>
    <xf numFmtId="0" fontId="4" fillId="0" borderId="15" xfId="0" applyNumberFormat="1" applyFont="1" applyBorder="1" applyAlignment="1"/>
    <xf numFmtId="0" fontId="6" fillId="0" borderId="15" xfId="0" applyNumberFormat="1" applyFont="1" applyBorder="1" applyAlignment="1">
      <alignment horizontal="left"/>
    </xf>
    <xf numFmtId="0" fontId="4" fillId="0" borderId="27" xfId="0" applyNumberFormat="1" applyFont="1" applyBorder="1" applyAlignment="1">
      <alignment horizontal="left"/>
    </xf>
    <xf numFmtId="0" fontId="7" fillId="0" borderId="0" xfId="0" applyFont="1"/>
    <xf numFmtId="166" fontId="4" fillId="0" borderId="28" xfId="0" applyNumberFormat="1" applyFont="1" applyBorder="1" applyAlignment="1">
      <alignment horizontal="right"/>
    </xf>
    <xf numFmtId="169" fontId="0" fillId="0" borderId="0" xfId="0" applyNumberFormat="1"/>
    <xf numFmtId="165" fontId="4" fillId="0" borderId="22" xfId="0" applyNumberFormat="1" applyFont="1" applyBorder="1" applyAlignment="1">
      <alignment horizontal="right"/>
    </xf>
    <xf numFmtId="166" fontId="4" fillId="0" borderId="22" xfId="0" applyNumberFormat="1" applyFont="1" applyBorder="1" applyAlignment="1">
      <alignment horizontal="right"/>
    </xf>
    <xf numFmtId="170" fontId="4" fillId="0" borderId="22" xfId="0" applyNumberFormat="1" applyFont="1" applyBorder="1" applyAlignment="1">
      <alignment horizontal="right"/>
    </xf>
    <xf numFmtId="164" fontId="4" fillId="0" borderId="22" xfId="0" applyNumberFormat="1" applyFon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7" fontId="4" fillId="0" borderId="15" xfId="0" applyNumberFormat="1" applyFont="1" applyBorder="1" applyAlignment="1">
      <alignment horizontal="right"/>
    </xf>
    <xf numFmtId="171" fontId="4" fillId="0" borderId="15" xfId="0" applyNumberFormat="1" applyFont="1" applyBorder="1" applyAlignment="1">
      <alignment horizontal="right"/>
    </xf>
    <xf numFmtId="168" fontId="4" fillId="0" borderId="27" xfId="0" applyNumberFormat="1" applyFont="1" applyBorder="1" applyAlignment="1">
      <alignment horizontal="right"/>
    </xf>
    <xf numFmtId="169" fontId="7" fillId="0" borderId="0" xfId="0" applyNumberFormat="1" applyFont="1"/>
    <xf numFmtId="168" fontId="4" fillId="0" borderId="29" xfId="0" applyNumberFormat="1" applyFont="1" applyBorder="1" applyAlignment="1">
      <alignment horizontal="right"/>
    </xf>
    <xf numFmtId="169" fontId="0" fillId="0" borderId="30" xfId="2" applyNumberFormat="1" applyFont="1" applyBorder="1"/>
    <xf numFmtId="0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31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right"/>
    </xf>
    <xf numFmtId="166" fontId="4" fillId="0" borderId="31" xfId="0" applyNumberFormat="1" applyFont="1" applyBorder="1" applyAlignment="1">
      <alignment horizontal="right"/>
    </xf>
    <xf numFmtId="168" fontId="4" fillId="0" borderId="32" xfId="0" applyNumberFormat="1" applyFont="1" applyBorder="1" applyAlignment="1">
      <alignment horizontal="right"/>
    </xf>
    <xf numFmtId="166" fontId="4" fillId="0" borderId="33" xfId="0" applyNumberFormat="1" applyFont="1" applyBorder="1" applyAlignment="1">
      <alignment horizontal="right"/>
    </xf>
    <xf numFmtId="168" fontId="4" fillId="0" borderId="34" xfId="0" applyNumberFormat="1" applyFont="1" applyBorder="1" applyAlignment="1">
      <alignment horizontal="right"/>
    </xf>
    <xf numFmtId="165" fontId="4" fillId="0" borderId="31" xfId="0" applyNumberFormat="1" applyFont="1" applyBorder="1" applyAlignment="1">
      <alignment horizontal="right"/>
    </xf>
    <xf numFmtId="167" fontId="4" fillId="0" borderId="32" xfId="0" applyNumberFormat="1" applyFont="1" applyBorder="1" applyAlignment="1">
      <alignment horizontal="right"/>
    </xf>
    <xf numFmtId="165" fontId="4" fillId="0" borderId="35" xfId="0" applyNumberFormat="1" applyFont="1" applyBorder="1" applyAlignment="1">
      <alignment horizontal="right"/>
    </xf>
    <xf numFmtId="168" fontId="4" fillId="0" borderId="36" xfId="0" applyNumberFormat="1" applyFont="1" applyBorder="1" applyAlignment="1">
      <alignment horizontal="right"/>
    </xf>
    <xf numFmtId="166" fontId="4" fillId="0" borderId="35" xfId="0" applyNumberFormat="1" applyFont="1" applyBorder="1" applyAlignment="1">
      <alignment horizontal="right"/>
    </xf>
    <xf numFmtId="166" fontId="4" fillId="0" borderId="37" xfId="0" applyNumberFormat="1" applyFont="1" applyBorder="1" applyAlignment="1">
      <alignment horizontal="right"/>
    </xf>
    <xf numFmtId="3" fontId="4" fillId="0" borderId="38" xfId="0" applyNumberFormat="1" applyFont="1" applyBorder="1" applyAlignment="1">
      <alignment horizontal="right"/>
    </xf>
    <xf numFmtId="172" fontId="4" fillId="0" borderId="25" xfId="1" applyNumberFormat="1" applyFont="1" applyBorder="1" applyAlignment="1">
      <alignment horizontal="right"/>
    </xf>
    <xf numFmtId="169" fontId="0" fillId="0" borderId="39" xfId="2" applyNumberFormat="1" applyFont="1" applyBorder="1" applyAlignment="1">
      <alignment horizontal="center"/>
    </xf>
    <xf numFmtId="169" fontId="0" fillId="0" borderId="40" xfId="2" applyNumberFormat="1" applyFont="1" applyBorder="1" applyAlignment="1">
      <alignment horizontal="center"/>
    </xf>
    <xf numFmtId="169" fontId="0" fillId="0" borderId="41" xfId="2" applyNumberFormat="1" applyFont="1" applyBorder="1" applyAlignment="1">
      <alignment horizontal="center"/>
    </xf>
    <xf numFmtId="169" fontId="0" fillId="0" borderId="42" xfId="2" applyNumberFormat="1" applyFont="1" applyBorder="1" applyAlignment="1">
      <alignment horizontal="center"/>
    </xf>
    <xf numFmtId="169" fontId="0" fillId="0" borderId="43" xfId="2" applyNumberFormat="1" applyFont="1" applyBorder="1" applyAlignment="1">
      <alignment horizontal="center"/>
    </xf>
    <xf numFmtId="169" fontId="0" fillId="0" borderId="44" xfId="2" applyNumberFormat="1" applyFont="1" applyBorder="1" applyAlignment="1">
      <alignment horizontal="center"/>
    </xf>
    <xf numFmtId="169" fontId="7" fillId="0" borderId="45" xfId="2" applyNumberFormat="1" applyFont="1" applyBorder="1" applyAlignment="1">
      <alignment horizontal="center"/>
    </xf>
    <xf numFmtId="169" fontId="7" fillId="0" borderId="46" xfId="2" applyNumberFormat="1" applyFont="1" applyBorder="1" applyAlignment="1">
      <alignment horizontal="center"/>
    </xf>
    <xf numFmtId="164" fontId="4" fillId="0" borderId="47" xfId="0" applyNumberFormat="1" applyFont="1" applyBorder="1" applyAlignment="1">
      <alignment horizontal="right"/>
    </xf>
    <xf numFmtId="167" fontId="4" fillId="0" borderId="16" xfId="0" applyNumberFormat="1" applyFont="1" applyBorder="1" applyAlignment="1">
      <alignment horizontal="right"/>
    </xf>
    <xf numFmtId="168" fontId="4" fillId="0" borderId="26" xfId="0" applyNumberFormat="1" applyFont="1" applyBorder="1" applyAlignment="1">
      <alignment horizontal="right"/>
    </xf>
    <xf numFmtId="169" fontId="7" fillId="0" borderId="48" xfId="2" applyNumberFormat="1" applyFont="1" applyBorder="1" applyAlignment="1">
      <alignment horizontal="center"/>
    </xf>
    <xf numFmtId="0" fontId="12" fillId="0" borderId="0" xfId="0" applyFont="1" applyFill="1"/>
    <xf numFmtId="0" fontId="13" fillId="2" borderId="27" xfId="0" applyFont="1" applyFill="1" applyBorder="1"/>
    <xf numFmtId="0" fontId="0" fillId="0" borderId="50" xfId="0" applyBorder="1" applyAlignment="1">
      <alignment horizontal="left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172" fontId="5" fillId="0" borderId="15" xfId="1" applyNumberFormat="1" applyFont="1" applyBorder="1" applyAlignment="1">
      <alignment horizontal="left"/>
    </xf>
    <xf numFmtId="172" fontId="5" fillId="0" borderId="55" xfId="1" applyNumberFormat="1" applyFont="1" applyFill="1" applyBorder="1"/>
    <xf numFmtId="172" fontId="5" fillId="0" borderId="56" xfId="1" applyNumberFormat="1" applyFont="1" applyFill="1" applyBorder="1"/>
    <xf numFmtId="172" fontId="5" fillId="0" borderId="57" xfId="1" applyNumberFormat="1" applyFont="1" applyFill="1" applyBorder="1"/>
    <xf numFmtId="172" fontId="5" fillId="0" borderId="58" xfId="1" applyNumberFormat="1" applyFont="1" applyFill="1" applyBorder="1"/>
    <xf numFmtId="172" fontId="5" fillId="0" borderId="17" xfId="1" applyNumberFormat="1" applyFont="1" applyBorder="1"/>
    <xf numFmtId="172" fontId="5" fillId="0" borderId="26" xfId="1" applyNumberFormat="1" applyFont="1" applyBorder="1"/>
    <xf numFmtId="172" fontId="5" fillId="0" borderId="16" xfId="1" applyNumberFormat="1" applyFont="1" applyBorder="1"/>
    <xf numFmtId="172" fontId="5" fillId="0" borderId="0" xfId="1" applyNumberFormat="1" applyFont="1"/>
    <xf numFmtId="169" fontId="5" fillId="0" borderId="28" xfId="2" applyNumberFormat="1" applyFont="1" applyBorder="1" applyAlignment="1">
      <alignment horizontal="left"/>
    </xf>
    <xf numFmtId="169" fontId="5" fillId="0" borderId="59" xfId="2" applyNumberFormat="1" applyFont="1" applyFill="1" applyBorder="1"/>
    <xf numFmtId="169" fontId="5" fillId="0" borderId="60" xfId="2" applyNumberFormat="1" applyFont="1" applyFill="1" applyBorder="1"/>
    <xf numFmtId="169" fontId="5" fillId="0" borderId="61" xfId="2" applyNumberFormat="1" applyFont="1" applyFill="1" applyBorder="1"/>
    <xf numFmtId="169" fontId="5" fillId="0" borderId="62" xfId="2" applyNumberFormat="1" applyFont="1" applyFill="1" applyBorder="1"/>
    <xf numFmtId="169" fontId="5" fillId="0" borderId="28" xfId="2" applyNumberFormat="1" applyFont="1" applyBorder="1"/>
    <xf numFmtId="169" fontId="5" fillId="0" borderId="63" xfId="2" applyNumberFormat="1" applyFont="1" applyBorder="1"/>
    <xf numFmtId="169" fontId="5" fillId="0" borderId="0" xfId="2" applyNumberFormat="1" applyFont="1"/>
    <xf numFmtId="0" fontId="13" fillId="2" borderId="14" xfId="0" applyFont="1" applyFill="1" applyBorder="1"/>
    <xf numFmtId="0" fontId="0" fillId="3" borderId="27" xfId="0" applyFill="1" applyBorder="1" applyAlignment="1">
      <alignment horizontal="center"/>
    </xf>
    <xf numFmtId="0" fontId="0" fillId="0" borderId="50" xfId="0" applyBorder="1"/>
    <xf numFmtId="0" fontId="0" fillId="3" borderId="64" xfId="0" applyFill="1" applyBorder="1" applyAlignment="1">
      <alignment horizontal="center"/>
    </xf>
    <xf numFmtId="17" fontId="0" fillId="0" borderId="57" xfId="0" applyNumberFormat="1" applyBorder="1" applyAlignment="1">
      <alignment horizontal="center"/>
    </xf>
    <xf numFmtId="17" fontId="0" fillId="0" borderId="58" xfId="0" applyNumberFormat="1" applyFill="1" applyBorder="1" applyAlignment="1">
      <alignment horizontal="center"/>
    </xf>
    <xf numFmtId="17" fontId="0" fillId="0" borderId="65" xfId="0" applyNumberFormat="1" applyFill="1" applyBorder="1" applyAlignment="1">
      <alignment horizontal="center"/>
    </xf>
    <xf numFmtId="17" fontId="0" fillId="0" borderId="54" xfId="0" applyNumberFormat="1" applyBorder="1" applyAlignment="1">
      <alignment horizontal="center"/>
    </xf>
    <xf numFmtId="17" fontId="0" fillId="0" borderId="53" xfId="0" applyNumberFormat="1" applyFill="1" applyBorder="1" applyAlignment="1">
      <alignment horizontal="center"/>
    </xf>
    <xf numFmtId="17" fontId="0" fillId="0" borderId="54" xfId="0" applyNumberFormat="1" applyFill="1" applyBorder="1" applyAlignment="1">
      <alignment horizontal="center"/>
    </xf>
    <xf numFmtId="16" fontId="0" fillId="0" borderId="54" xfId="0" applyNumberFormat="1" applyFill="1" applyBorder="1" applyAlignment="1">
      <alignment horizontal="center"/>
    </xf>
    <xf numFmtId="17" fontId="0" fillId="0" borderId="52" xfId="0" applyNumberFormat="1" applyBorder="1" applyAlignment="1">
      <alignment horizontal="center"/>
    </xf>
    <xf numFmtId="172" fontId="5" fillId="3" borderId="66" xfId="1" applyNumberFormat="1" applyFont="1" applyFill="1" applyBorder="1"/>
    <xf numFmtId="172" fontId="5" fillId="0" borderId="40" xfId="1" applyNumberFormat="1" applyFont="1" applyBorder="1"/>
    <xf numFmtId="172" fontId="5" fillId="0" borderId="67" xfId="1" applyNumberFormat="1" applyFont="1" applyFill="1" applyBorder="1"/>
    <xf numFmtId="172" fontId="5" fillId="0" borderId="0" xfId="1" applyNumberFormat="1" applyFont="1" applyFill="1" applyAlignment="1">
      <alignment horizontal="center"/>
    </xf>
    <xf numFmtId="172" fontId="5" fillId="0" borderId="67" xfId="1" applyNumberFormat="1" applyFont="1" applyBorder="1"/>
    <xf numFmtId="172" fontId="5" fillId="0" borderId="40" xfId="1" applyNumberFormat="1" applyFont="1" applyFill="1" applyBorder="1"/>
    <xf numFmtId="172" fontId="5" fillId="0" borderId="68" xfId="1" applyNumberFormat="1" applyFont="1" applyBorder="1" applyAlignment="1">
      <alignment horizontal="center" vertical="center" wrapText="1"/>
    </xf>
    <xf numFmtId="44" fontId="5" fillId="0" borderId="28" xfId="2" applyFont="1" applyBorder="1"/>
    <xf numFmtId="44" fontId="5" fillId="3" borderId="69" xfId="2" applyFont="1" applyFill="1" applyBorder="1" applyAlignment="1">
      <alignment horizontal="right"/>
    </xf>
    <xf numFmtId="44" fontId="5" fillId="0" borderId="44" xfId="2" applyFont="1" applyBorder="1"/>
    <xf numFmtId="44" fontId="5" fillId="0" borderId="70" xfId="2" applyFont="1" applyFill="1" applyBorder="1"/>
    <xf numFmtId="44" fontId="5" fillId="0" borderId="42" xfId="2" applyFont="1" applyFill="1" applyBorder="1"/>
    <xf numFmtId="44" fontId="5" fillId="0" borderId="70" xfId="2" applyFont="1" applyBorder="1"/>
    <xf numFmtId="6" fontId="0" fillId="0" borderId="70" xfId="0" applyNumberFormat="1" applyFill="1" applyBorder="1"/>
    <xf numFmtId="44" fontId="5" fillId="0" borderId="44" xfId="2" applyFont="1" applyFill="1" applyBorder="1"/>
    <xf numFmtId="0" fontId="0" fillId="0" borderId="60" xfId="0" applyBorder="1" applyAlignment="1">
      <alignment horizontal="center" vertical="center" wrapText="1"/>
    </xf>
    <xf numFmtId="44" fontId="5" fillId="0" borderId="0" xfId="2" applyFont="1"/>
    <xf numFmtId="0" fontId="0" fillId="0" borderId="0" xfId="0" applyAlignment="1">
      <alignment horizontal="right"/>
    </xf>
    <xf numFmtId="6" fontId="0" fillId="0" borderId="0" xfId="0" applyNumberFormat="1"/>
    <xf numFmtId="0" fontId="14" fillId="0" borderId="0" xfId="0" applyFont="1"/>
    <xf numFmtId="169" fontId="11" fillId="0" borderId="9" xfId="2" applyNumberFormat="1" applyFont="1" applyBorder="1"/>
    <xf numFmtId="169" fontId="11" fillId="0" borderId="10" xfId="2" applyNumberFormat="1" applyFont="1" applyBorder="1"/>
    <xf numFmtId="169" fontId="11" fillId="0" borderId="11" xfId="2" applyNumberFormat="1" applyFont="1" applyBorder="1"/>
    <xf numFmtId="169" fontId="11" fillId="0" borderId="12" xfId="2" applyNumberFormat="1" applyFont="1" applyBorder="1"/>
    <xf numFmtId="0" fontId="11" fillId="0" borderId="12" xfId="0" applyFont="1" applyBorder="1"/>
    <xf numFmtId="0" fontId="11" fillId="0" borderId="10" xfId="0" applyFont="1" applyBorder="1"/>
    <xf numFmtId="0" fontId="11" fillId="0" borderId="13" xfId="0" applyFont="1" applyBorder="1"/>
    <xf numFmtId="0" fontId="16" fillId="0" borderId="21" xfId="0" applyNumberFormat="1" applyFont="1" applyBorder="1" applyAlignment="1">
      <alignment horizontal="right"/>
    </xf>
    <xf numFmtId="0" fontId="16" fillId="0" borderId="14" xfId="0" applyNumberFormat="1" applyFont="1" applyBorder="1" applyAlignment="1">
      <alignment horizontal="right"/>
    </xf>
    <xf numFmtId="169" fontId="11" fillId="0" borderId="7" xfId="2" applyNumberFormat="1" applyFont="1" applyBorder="1"/>
    <xf numFmtId="169" fontId="11" fillId="0" borderId="3" xfId="2" applyNumberFormat="1" applyFont="1" applyBorder="1"/>
    <xf numFmtId="169" fontId="11" fillId="0" borderId="1" xfId="2" applyNumberFormat="1" applyFont="1" applyBorder="1"/>
    <xf numFmtId="169" fontId="11" fillId="0" borderId="2" xfId="2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0" xfId="0" applyFont="1" applyBorder="1"/>
    <xf numFmtId="0" fontId="17" fillId="0" borderId="22" xfId="0" applyFont="1" applyBorder="1"/>
    <xf numFmtId="0" fontId="17" fillId="0" borderId="15" xfId="0" applyFont="1" applyBorder="1"/>
    <xf numFmtId="0" fontId="16" fillId="0" borderId="22" xfId="0" applyNumberFormat="1" applyFont="1" applyBorder="1" applyAlignment="1">
      <alignment horizontal="right"/>
    </xf>
    <xf numFmtId="0" fontId="16" fillId="0" borderId="15" xfId="0" applyNumberFormat="1" applyFont="1" applyBorder="1" applyAlignment="1">
      <alignment horizontal="right"/>
    </xf>
    <xf numFmtId="169" fontId="11" fillId="0" borderId="0" xfId="2" applyNumberFormat="1" applyFont="1" applyBorder="1"/>
    <xf numFmtId="0" fontId="17" fillId="0" borderId="0" xfId="0" applyFont="1" applyBorder="1"/>
    <xf numFmtId="0" fontId="18" fillId="0" borderId="15" xfId="0" applyNumberFormat="1" applyFont="1" applyBorder="1" applyAlignment="1">
      <alignment horizontal="right"/>
    </xf>
    <xf numFmtId="0" fontId="19" fillId="0" borderId="22" xfId="0" applyNumberFormat="1" applyFont="1" applyBorder="1" applyAlignment="1">
      <alignment horizontal="left"/>
    </xf>
    <xf numFmtId="0" fontId="20" fillId="0" borderId="15" xfId="0" applyNumberFormat="1" applyFont="1" applyBorder="1" applyAlignment="1">
      <alignment horizontal="left"/>
    </xf>
    <xf numFmtId="0" fontId="19" fillId="0" borderId="15" xfId="0" applyNumberFormat="1" applyFont="1" applyBorder="1" applyAlignment="1">
      <alignment horizontal="left"/>
    </xf>
    <xf numFmtId="0" fontId="19" fillId="0" borderId="26" xfId="0" applyNumberFormat="1" applyFont="1" applyBorder="1" applyAlignment="1">
      <alignment horizontal="left"/>
    </xf>
    <xf numFmtId="0" fontId="19" fillId="0" borderId="27" xfId="0" applyNumberFormat="1" applyFont="1" applyFill="1" applyBorder="1" applyAlignment="1">
      <alignment horizontal="left"/>
    </xf>
    <xf numFmtId="0" fontId="19" fillId="0" borderId="27" xfId="0" applyNumberFormat="1" applyFont="1" applyFill="1" applyBorder="1" applyAlignment="1">
      <alignment horizontal="left" wrapText="1"/>
    </xf>
    <xf numFmtId="169" fontId="11" fillId="0" borderId="71" xfId="2" applyNumberFormat="1" applyFont="1" applyBorder="1"/>
    <xf numFmtId="169" fontId="11" fillId="4" borderId="41" xfId="2" applyNumberFormat="1" applyFont="1" applyFill="1" applyBorder="1"/>
    <xf numFmtId="169" fontId="11" fillId="4" borderId="39" xfId="2" applyNumberFormat="1" applyFont="1" applyFill="1" applyBorder="1"/>
    <xf numFmtId="169" fontId="11" fillId="4" borderId="72" xfId="2" applyNumberFormat="1" applyFont="1" applyFill="1" applyBorder="1"/>
    <xf numFmtId="169" fontId="11" fillId="4" borderId="40" xfId="2" applyNumberFormat="1" applyFont="1" applyFill="1" applyBorder="1"/>
    <xf numFmtId="172" fontId="19" fillId="0" borderId="23" xfId="1" applyNumberFormat="1" applyFont="1" applyBorder="1" applyAlignment="1">
      <alignment horizontal="right"/>
    </xf>
    <xf numFmtId="172" fontId="19" fillId="0" borderId="26" xfId="1" applyNumberFormat="1" applyFont="1" applyBorder="1" applyAlignment="1">
      <alignment horizontal="right"/>
    </xf>
    <xf numFmtId="0" fontId="19" fillId="0" borderId="23" xfId="0" applyNumberFormat="1" applyFont="1" applyBorder="1" applyAlignment="1">
      <alignment horizontal="right"/>
    </xf>
    <xf numFmtId="167" fontId="19" fillId="0" borderId="26" xfId="0" applyNumberFormat="1" applyFont="1" applyBorder="1" applyAlignment="1">
      <alignment horizontal="right"/>
    </xf>
    <xf numFmtId="3" fontId="21" fillId="0" borderId="25" xfId="0" applyNumberFormat="1" applyFont="1" applyBorder="1"/>
    <xf numFmtId="168" fontId="21" fillId="0" borderId="27" xfId="0" applyNumberFormat="1" applyFont="1" applyBorder="1"/>
    <xf numFmtId="169" fontId="11" fillId="0" borderId="73" xfId="2" applyNumberFormat="1" applyFont="1" applyFill="1" applyBorder="1"/>
    <xf numFmtId="169" fontId="11" fillId="0" borderId="8" xfId="2" applyNumberFormat="1" applyFont="1" applyFill="1" applyBorder="1"/>
    <xf numFmtId="169" fontId="11" fillId="0" borderId="74" xfId="2" applyNumberFormat="1" applyFont="1" applyFill="1" applyBorder="1"/>
    <xf numFmtId="169" fontId="11" fillId="0" borderId="75" xfId="2" applyNumberFormat="1" applyFont="1" applyFill="1" applyBorder="1"/>
    <xf numFmtId="169" fontId="11" fillId="0" borderId="76" xfId="2" applyNumberFormat="1" applyFont="1" applyBorder="1"/>
    <xf numFmtId="169" fontId="11" fillId="0" borderId="77" xfId="2" applyNumberFormat="1" applyFont="1" applyBorder="1"/>
    <xf numFmtId="169" fontId="11" fillId="0" borderId="78" xfId="2" applyNumberFormat="1" applyFont="1" applyBorder="1"/>
    <xf numFmtId="169" fontId="11" fillId="0" borderId="79" xfId="2" applyNumberFormat="1" applyFont="1" applyFill="1" applyBorder="1"/>
    <xf numFmtId="169" fontId="11" fillId="0" borderId="80" xfId="2" applyNumberFormat="1" applyFont="1" applyBorder="1"/>
    <xf numFmtId="0" fontId="16" fillId="0" borderId="13" xfId="0" applyNumberFormat="1" applyFont="1" applyBorder="1" applyAlignment="1">
      <alignment horizontal="right"/>
    </xf>
    <xf numFmtId="169" fontId="11" fillId="0" borderId="81" xfId="2" applyNumberFormat="1" applyFont="1" applyBorder="1"/>
    <xf numFmtId="169" fontId="11" fillId="0" borderId="82" xfId="2" applyNumberFormat="1" applyFont="1" applyBorder="1"/>
    <xf numFmtId="0" fontId="11" fillId="0" borderId="78" xfId="0" applyFont="1" applyBorder="1"/>
    <xf numFmtId="0" fontId="11" fillId="0" borderId="76" xfId="0" applyFont="1" applyBorder="1"/>
    <xf numFmtId="0" fontId="11" fillId="0" borderId="83" xfId="0" applyFont="1" applyBorder="1"/>
    <xf numFmtId="169" fontId="11" fillId="0" borderId="84" xfId="2" applyNumberFormat="1" applyFont="1" applyBorder="1"/>
    <xf numFmtId="169" fontId="11" fillId="0" borderId="83" xfId="2" applyNumberFormat="1" applyFont="1" applyBorder="1"/>
    <xf numFmtId="169" fontId="11" fillId="0" borderId="85" xfId="2" applyNumberFormat="1" applyFont="1" applyBorder="1"/>
    <xf numFmtId="169" fontId="11" fillId="0" borderId="86" xfId="2" applyNumberFormat="1" applyFont="1" applyBorder="1"/>
    <xf numFmtId="169" fontId="11" fillId="0" borderId="87" xfId="2" applyNumberFormat="1" applyFont="1" applyBorder="1"/>
    <xf numFmtId="169" fontId="11" fillId="0" borderId="57" xfId="2" applyNumberFormat="1" applyFont="1" applyFill="1" applyBorder="1"/>
    <xf numFmtId="169" fontId="11" fillId="0" borderId="88" xfId="2" applyNumberFormat="1" applyFont="1" applyBorder="1"/>
    <xf numFmtId="169" fontId="11" fillId="0" borderId="75" xfId="2" applyNumberFormat="1" applyFont="1" applyBorder="1"/>
    <xf numFmtId="169" fontId="11" fillId="0" borderId="89" xfId="2" applyNumberFormat="1" applyFont="1" applyFill="1" applyBorder="1"/>
    <xf numFmtId="169" fontId="11" fillId="0" borderId="0" xfId="2" applyNumberFormat="1" applyFont="1" applyFill="1" applyBorder="1"/>
    <xf numFmtId="169" fontId="11" fillId="0" borderId="90" xfId="2" applyNumberFormat="1" applyFont="1" applyFill="1" applyBorder="1"/>
    <xf numFmtId="169" fontId="11" fillId="0" borderId="91" xfId="2" applyNumberFormat="1" applyFont="1" applyFill="1" applyBorder="1"/>
    <xf numFmtId="169" fontId="11" fillId="0" borderId="92" xfId="2" applyNumberFormat="1" applyFont="1" applyFill="1" applyBorder="1"/>
    <xf numFmtId="169" fontId="11" fillId="0" borderId="93" xfId="2" applyNumberFormat="1" applyFont="1" applyBorder="1"/>
    <xf numFmtId="0" fontId="22" fillId="0" borderId="15" xfId="0" applyNumberFormat="1" applyFont="1" applyBorder="1" applyAlignment="1">
      <alignment horizontal="left"/>
    </xf>
    <xf numFmtId="0" fontId="19" fillId="0" borderId="15" xfId="0" applyNumberFormat="1" applyFont="1" applyBorder="1" applyAlignment="1">
      <alignment horizontal="right"/>
    </xf>
    <xf numFmtId="169" fontId="11" fillId="0" borderId="94" xfId="2" applyNumberFormat="1" applyFont="1" applyBorder="1"/>
    <xf numFmtId="169" fontId="11" fillId="0" borderId="95" xfId="2" applyNumberFormat="1" applyFont="1" applyBorder="1"/>
    <xf numFmtId="169" fontId="11" fillId="0" borderId="92" xfId="2" applyNumberFormat="1" applyFont="1" applyBorder="1"/>
    <xf numFmtId="0" fontId="18" fillId="0" borderId="14" xfId="0" applyNumberFormat="1" applyFont="1" applyBorder="1" applyAlignment="1">
      <alignment horizontal="right"/>
    </xf>
    <xf numFmtId="0" fontId="2" fillId="0" borderId="96" xfId="0" applyFont="1" applyBorder="1" applyAlignment="1">
      <alignment horizontal="center"/>
    </xf>
    <xf numFmtId="169" fontId="0" fillId="0" borderId="8" xfId="2" applyNumberFormat="1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169" fontId="0" fillId="0" borderId="88" xfId="2" applyNumberFormat="1" applyFont="1" applyBorder="1"/>
    <xf numFmtId="169" fontId="0" fillId="0" borderId="57" xfId="2" applyNumberFormat="1" applyFont="1" applyBorder="1"/>
    <xf numFmtId="169" fontId="0" fillId="0" borderId="57" xfId="2" applyNumberFormat="1" applyFont="1" applyBorder="1" applyAlignment="1">
      <alignment horizontal="center"/>
    </xf>
    <xf numFmtId="0" fontId="2" fillId="0" borderId="97" xfId="0" applyFont="1" applyBorder="1" applyAlignment="1">
      <alignment horizontal="center"/>
    </xf>
    <xf numFmtId="169" fontId="0" fillId="0" borderId="98" xfId="2" applyNumberFormat="1" applyFont="1" applyBorder="1"/>
    <xf numFmtId="169" fontId="0" fillId="0" borderId="99" xfId="2" applyNumberFormat="1" applyFont="1" applyBorder="1"/>
    <xf numFmtId="169" fontId="0" fillId="0" borderId="99" xfId="2" applyNumberFormat="1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169" fontId="11" fillId="0" borderId="88" xfId="2" applyNumberFormat="1" applyFont="1" applyFill="1" applyBorder="1"/>
    <xf numFmtId="169" fontId="11" fillId="0" borderId="101" xfId="2" applyNumberFormat="1" applyFont="1" applyBorder="1"/>
    <xf numFmtId="0" fontId="11" fillId="0" borderId="71" xfId="0" applyFont="1" applyBorder="1" applyAlignment="1"/>
    <xf numFmtId="0" fontId="11" fillId="0" borderId="102" xfId="0" applyFont="1" applyBorder="1" applyAlignment="1"/>
    <xf numFmtId="0" fontId="17" fillId="0" borderId="103" xfId="0" applyFont="1" applyBorder="1"/>
    <xf numFmtId="169" fontId="11" fillId="4" borderId="0" xfId="2" applyNumberFormat="1" applyFont="1" applyFill="1" applyBorder="1"/>
    <xf numFmtId="169" fontId="11" fillId="4" borderId="104" xfId="2" applyNumberFormat="1" applyFont="1" applyFill="1" applyBorder="1"/>
    <xf numFmtId="0" fontId="11" fillId="0" borderId="105" xfId="0" applyFont="1" applyBorder="1" applyAlignment="1"/>
    <xf numFmtId="0" fontId="11" fillId="0" borderId="106" xfId="0" applyFont="1" applyBorder="1" applyAlignment="1"/>
    <xf numFmtId="0" fontId="11" fillId="0" borderId="74" xfId="0" applyFont="1" applyBorder="1"/>
    <xf numFmtId="0" fontId="11" fillId="0" borderId="73" xfId="0" applyFont="1" applyBorder="1" applyAlignment="1"/>
    <xf numFmtId="0" fontId="11" fillId="0" borderId="107" xfId="0" applyFont="1" applyBorder="1" applyAlignment="1"/>
    <xf numFmtId="0" fontId="16" fillId="0" borderId="108" xfId="0" applyNumberFormat="1" applyFont="1" applyBorder="1" applyAlignment="1">
      <alignment horizontal="right"/>
    </xf>
    <xf numFmtId="172" fontId="19" fillId="0" borderId="109" xfId="1" applyNumberFormat="1" applyFont="1" applyBorder="1" applyAlignment="1">
      <alignment horizontal="right"/>
    </xf>
    <xf numFmtId="167" fontId="19" fillId="0" borderId="109" xfId="0" applyNumberFormat="1" applyFont="1" applyBorder="1" applyAlignment="1">
      <alignment horizontal="right"/>
    </xf>
    <xf numFmtId="0" fontId="17" fillId="0" borderId="88" xfId="0" applyFont="1" applyBorder="1"/>
    <xf numFmtId="168" fontId="21" fillId="0" borderId="110" xfId="0" applyNumberFormat="1" applyFont="1" applyBorder="1"/>
    <xf numFmtId="168" fontId="4" fillId="0" borderId="111" xfId="0" applyNumberFormat="1" applyFont="1" applyBorder="1" applyAlignment="1">
      <alignment horizontal="right"/>
    </xf>
    <xf numFmtId="168" fontId="4" fillId="0" borderId="68" xfId="0" applyNumberFormat="1" applyFont="1" applyBorder="1" applyAlignment="1">
      <alignment horizontal="right"/>
    </xf>
    <xf numFmtId="168" fontId="4" fillId="0" borderId="112" xfId="0" applyNumberFormat="1" applyFont="1" applyBorder="1" applyAlignment="1">
      <alignment horizontal="right"/>
    </xf>
    <xf numFmtId="168" fontId="4" fillId="0" borderId="52" xfId="0" applyNumberFormat="1" applyFont="1" applyBorder="1" applyAlignment="1">
      <alignment horizontal="right"/>
    </xf>
    <xf numFmtId="168" fontId="4" fillId="0" borderId="113" xfId="0" applyNumberFormat="1" applyFont="1" applyBorder="1" applyAlignment="1">
      <alignment horizontal="right"/>
    </xf>
    <xf numFmtId="168" fontId="4" fillId="0" borderId="114" xfId="0" applyNumberFormat="1" applyFont="1" applyBorder="1" applyAlignment="1">
      <alignment horizontal="right"/>
    </xf>
    <xf numFmtId="0" fontId="7" fillId="0" borderId="114" xfId="0" applyFont="1" applyBorder="1"/>
    <xf numFmtId="168" fontId="4" fillId="0" borderId="115" xfId="0" applyNumberFormat="1" applyFont="1" applyBorder="1" applyAlignment="1">
      <alignment horizontal="right"/>
    </xf>
    <xf numFmtId="0" fontId="19" fillId="0" borderId="116" xfId="0" applyNumberFormat="1" applyFont="1" applyBorder="1" applyAlignment="1">
      <alignment horizontal="right"/>
    </xf>
    <xf numFmtId="167" fontId="19" fillId="0" borderId="117" xfId="0" applyNumberFormat="1" applyFont="1" applyBorder="1" applyAlignment="1">
      <alignment horizontal="right"/>
    </xf>
    <xf numFmtId="0" fontId="11" fillId="0" borderId="118" xfId="0" applyFont="1" applyBorder="1" applyAlignment="1"/>
    <xf numFmtId="0" fontId="19" fillId="0" borderId="16" xfId="0" applyNumberFormat="1" applyFont="1" applyBorder="1" applyAlignment="1">
      <alignment horizontal="left"/>
    </xf>
    <xf numFmtId="0" fontId="19" fillId="0" borderId="16" xfId="0" applyNumberFormat="1" applyFont="1" applyBorder="1" applyAlignment="1">
      <alignment horizontal="right"/>
    </xf>
    <xf numFmtId="169" fontId="11" fillId="0" borderId="30" xfId="2" applyNumberFormat="1" applyFont="1" applyBorder="1"/>
    <xf numFmtId="169" fontId="11" fillId="0" borderId="5" xfId="2" applyNumberFormat="1" applyFont="1" applyBorder="1"/>
    <xf numFmtId="169" fontId="11" fillId="0" borderId="107" xfId="2" applyNumberFormat="1" applyFont="1" applyBorder="1"/>
    <xf numFmtId="169" fontId="11" fillId="0" borderId="6" xfId="2" applyNumberFormat="1" applyFont="1" applyBorder="1"/>
    <xf numFmtId="169" fontId="11" fillId="0" borderId="4" xfId="2" applyNumberFormat="1" applyFont="1" applyBorder="1"/>
    <xf numFmtId="169" fontId="11" fillId="0" borderId="119" xfId="2" applyNumberFormat="1" applyFont="1" applyBorder="1"/>
    <xf numFmtId="169" fontId="11" fillId="4" borderId="8" xfId="2" applyNumberFormat="1" applyFont="1" applyFill="1" applyBorder="1"/>
    <xf numFmtId="169" fontId="11" fillId="4" borderId="120" xfId="2" applyNumberFormat="1" applyFont="1" applyFill="1" applyBorder="1"/>
    <xf numFmtId="169" fontId="11" fillId="0" borderId="8" xfId="2" applyNumberFormat="1" applyFont="1" applyBorder="1"/>
    <xf numFmtId="172" fontId="19" fillId="0" borderId="57" xfId="1" applyNumberFormat="1" applyFont="1" applyBorder="1" applyAlignment="1">
      <alignment horizontal="right"/>
    </xf>
    <xf numFmtId="0" fontId="16" fillId="0" borderId="121" xfId="0" applyNumberFormat="1" applyFont="1" applyBorder="1" applyAlignment="1">
      <alignment horizontal="right"/>
    </xf>
    <xf numFmtId="169" fontId="11" fillId="4" borderId="103" xfId="2" applyNumberFormat="1" applyFont="1" applyFill="1" applyBorder="1"/>
    <xf numFmtId="0" fontId="17" fillId="0" borderId="109" xfId="0" applyFont="1" applyBorder="1"/>
    <xf numFmtId="172" fontId="19" fillId="0" borderId="26" xfId="1" applyNumberFormat="1" applyFont="1" applyBorder="1" applyAlignment="1">
      <alignment horizontal="left"/>
    </xf>
    <xf numFmtId="172" fontId="0" fillId="0" borderId="0" xfId="1" applyNumberFormat="1" applyFont="1"/>
    <xf numFmtId="169" fontId="0" fillId="0" borderId="122" xfId="2" applyNumberFormat="1" applyFont="1" applyBorder="1"/>
    <xf numFmtId="167" fontId="4" fillId="0" borderId="36" xfId="0" applyNumberFormat="1" applyFont="1" applyBorder="1" applyAlignment="1">
      <alignment horizontal="right"/>
    </xf>
    <xf numFmtId="169" fontId="11" fillId="0" borderId="123" xfId="2" applyNumberFormat="1" applyFont="1" applyBorder="1"/>
    <xf numFmtId="172" fontId="15" fillId="0" borderId="39" xfId="1" applyNumberFormat="1" applyFont="1" applyBorder="1" applyAlignment="1">
      <alignment horizontal="center"/>
    </xf>
    <xf numFmtId="172" fontId="15" fillId="0" borderId="66" xfId="1" applyNumberFormat="1" applyFont="1" applyBorder="1" applyAlignment="1">
      <alignment horizontal="center"/>
    </xf>
    <xf numFmtId="169" fontId="15" fillId="0" borderId="42" xfId="2" applyNumberFormat="1" applyFont="1" applyBorder="1" applyAlignment="1">
      <alignment horizontal="center"/>
    </xf>
    <xf numFmtId="169" fontId="15" fillId="0" borderId="43" xfId="2" applyNumberFormat="1" applyFont="1" applyBorder="1" applyAlignment="1">
      <alignment horizontal="center"/>
    </xf>
    <xf numFmtId="169" fontId="15" fillId="0" borderId="44" xfId="2" applyNumberFormat="1" applyFont="1" applyBorder="1" applyAlignment="1">
      <alignment horizontal="center"/>
    </xf>
    <xf numFmtId="169" fontId="17" fillId="5" borderId="23" xfId="2" applyNumberFormat="1" applyFont="1" applyFill="1" applyBorder="1" applyAlignment="1">
      <alignment horizontal="center"/>
    </xf>
    <xf numFmtId="169" fontId="17" fillId="5" borderId="39" xfId="2" applyNumberFormat="1" applyFont="1" applyFill="1" applyBorder="1" applyAlignment="1">
      <alignment horizontal="center"/>
    </xf>
    <xf numFmtId="169" fontId="17" fillId="5" borderId="40" xfId="2" applyNumberFormat="1" applyFont="1" applyFill="1" applyBorder="1" applyAlignment="1">
      <alignment horizontal="center"/>
    </xf>
    <xf numFmtId="172" fontId="15" fillId="0" borderId="41" xfId="1" applyNumberFormat="1" applyFont="1" applyBorder="1" applyAlignment="1">
      <alignment horizontal="center"/>
    </xf>
    <xf numFmtId="172" fontId="15" fillId="0" borderId="40" xfId="1" applyNumberFormat="1" applyFont="1" applyBorder="1" applyAlignment="1">
      <alignment horizontal="center"/>
    </xf>
    <xf numFmtId="169" fontId="21" fillId="0" borderId="48" xfId="2" applyNumberFormat="1" applyFont="1" applyBorder="1" applyAlignment="1">
      <alignment horizontal="center"/>
    </xf>
    <xf numFmtId="169" fontId="21" fillId="0" borderId="45" xfId="2" applyNumberFormat="1" applyFont="1" applyBorder="1" applyAlignment="1">
      <alignment horizontal="center"/>
    </xf>
    <xf numFmtId="169" fontId="21" fillId="0" borderId="46" xfId="2" applyNumberFormat="1" applyFont="1" applyBorder="1" applyAlignment="1">
      <alignment horizontal="center"/>
    </xf>
    <xf numFmtId="169" fontId="21" fillId="0" borderId="25" xfId="2" applyNumberFormat="1" applyFont="1" applyBorder="1" applyAlignment="1">
      <alignment horizontal="center"/>
    </xf>
    <xf numFmtId="0" fontId="15" fillId="0" borderId="45" xfId="0" applyFont="1" applyBorder="1"/>
    <xf numFmtId="0" fontId="15" fillId="0" borderId="46" xfId="0" applyFont="1" applyBorder="1"/>
    <xf numFmtId="169" fontId="15" fillId="0" borderId="69" xfId="2" applyNumberFormat="1" applyFont="1" applyBorder="1" applyAlignment="1">
      <alignment horizontal="center"/>
    </xf>
    <xf numFmtId="169" fontId="21" fillId="0" borderId="129" xfId="2" applyNumberFormat="1" applyFont="1" applyBorder="1" applyAlignment="1">
      <alignment horizontal="center"/>
    </xf>
    <xf numFmtId="169" fontId="15" fillId="0" borderId="39" xfId="2" applyNumberFormat="1" applyFont="1" applyBorder="1" applyAlignment="1">
      <alignment horizontal="center"/>
    </xf>
    <xf numFmtId="169" fontId="15" fillId="0" borderId="40" xfId="2" applyNumberFormat="1" applyFont="1" applyBorder="1" applyAlignment="1">
      <alignment horizontal="center"/>
    </xf>
    <xf numFmtId="169" fontId="15" fillId="0" borderId="41" xfId="2" applyNumberFormat="1" applyFont="1" applyBorder="1" applyAlignment="1">
      <alignment horizontal="center"/>
    </xf>
    <xf numFmtId="169" fontId="0" fillId="0" borderId="41" xfId="2" applyNumberFormat="1" applyFont="1" applyBorder="1" applyAlignment="1">
      <alignment horizontal="center"/>
    </xf>
    <xf numFmtId="169" fontId="0" fillId="0" borderId="39" xfId="2" applyNumberFormat="1" applyFont="1" applyBorder="1" applyAlignment="1">
      <alignment horizontal="center"/>
    </xf>
    <xf numFmtId="169" fontId="0" fillId="0" borderId="40" xfId="2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169" fontId="0" fillId="0" borderId="128" xfId="2" applyNumberFormat="1" applyFont="1" applyBorder="1" applyAlignment="1">
      <alignment horizontal="center"/>
    </xf>
    <xf numFmtId="169" fontId="0" fillId="0" borderId="86" xfId="2" applyNumberFormat="1" applyFont="1" applyBorder="1" applyAlignment="1">
      <alignment horizontal="center"/>
    </xf>
    <xf numFmtId="169" fontId="0" fillId="0" borderId="83" xfId="2" applyNumberFormat="1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86" xfId="0" applyBorder="1" applyAlignment="1">
      <alignment horizontal="center"/>
    </xf>
    <xf numFmtId="169" fontId="0" fillId="0" borderId="42" xfId="2" applyNumberFormat="1" applyFont="1" applyBorder="1" applyAlignment="1">
      <alignment horizontal="center"/>
    </xf>
    <xf numFmtId="169" fontId="0" fillId="0" borderId="43" xfId="2" applyNumberFormat="1" applyFont="1" applyBorder="1" applyAlignment="1">
      <alignment horizontal="center"/>
    </xf>
    <xf numFmtId="169" fontId="0" fillId="0" borderId="44" xfId="2" applyNumberFormat="1" applyFont="1" applyBorder="1" applyAlignment="1">
      <alignment horizontal="center"/>
    </xf>
    <xf numFmtId="172" fontId="15" fillId="0" borderId="41" xfId="1" applyNumberFormat="1" applyFont="1" applyBorder="1" applyAlignment="1">
      <alignment horizontal="center" vertical="center"/>
    </xf>
    <xf numFmtId="172" fontId="15" fillId="0" borderId="39" xfId="1" applyNumberFormat="1" applyFont="1" applyBorder="1" applyAlignment="1">
      <alignment horizontal="center" vertical="center"/>
    </xf>
    <xf numFmtId="172" fontId="15" fillId="0" borderId="40" xfId="1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63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1" fillId="0" borderId="126" xfId="0" applyFont="1" applyBorder="1" applyAlignment="1">
      <alignment horizontal="center"/>
    </xf>
    <xf numFmtId="0" fontId="4" fillId="0" borderId="21" xfId="0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center" vertical="center"/>
    </xf>
    <xf numFmtId="169" fontId="7" fillId="0" borderId="48" xfId="2" applyNumberFormat="1" applyFont="1" applyBorder="1" applyAlignment="1">
      <alignment horizontal="center"/>
    </xf>
    <xf numFmtId="169" fontId="7" fillId="0" borderId="45" xfId="2" applyNumberFormat="1" applyFont="1" applyBorder="1" applyAlignment="1">
      <alignment horizontal="center"/>
    </xf>
    <xf numFmtId="169" fontId="7" fillId="0" borderId="46" xfId="2" applyNumberFormat="1" applyFont="1" applyBorder="1" applyAlignment="1">
      <alignment horizontal="center"/>
    </xf>
    <xf numFmtId="0" fontId="10" fillId="0" borderId="14" xfId="0" applyNumberFormat="1" applyFont="1" applyBorder="1" applyAlignment="1">
      <alignment horizontal="left"/>
    </xf>
    <xf numFmtId="0" fontId="10" fillId="0" borderId="63" xfId="0" applyNumberFormat="1" applyFont="1" applyBorder="1" applyAlignment="1">
      <alignment horizontal="left"/>
    </xf>
    <xf numFmtId="169" fontId="0" fillId="0" borderId="127" xfId="2" applyNumberFormat="1" applyFont="1" applyBorder="1" applyAlignment="1">
      <alignment horizontal="center" wrapText="1"/>
    </xf>
    <xf numFmtId="169" fontId="0" fillId="0" borderId="43" xfId="2" applyNumberFormat="1" applyFont="1" applyBorder="1" applyAlignment="1">
      <alignment horizontal="center" wrapText="1"/>
    </xf>
    <xf numFmtId="169" fontId="0" fillId="0" borderId="44" xfId="2" applyNumberFormat="1" applyFont="1" applyBorder="1" applyAlignment="1">
      <alignment horizontal="center" wrapText="1"/>
    </xf>
    <xf numFmtId="169" fontId="7" fillId="0" borderId="25" xfId="2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69" xfId="0" applyBorder="1" applyAlignment="1">
      <alignment horizontal="center"/>
    </xf>
    <xf numFmtId="172" fontId="15" fillId="0" borderId="23" xfId="1" applyNumberFormat="1" applyFont="1" applyBorder="1" applyAlignment="1">
      <alignment horizontal="center"/>
    </xf>
    <xf numFmtId="169" fontId="15" fillId="0" borderId="127" xfId="2" applyNumberFormat="1" applyFont="1" applyBorder="1" applyAlignment="1">
      <alignment horizontal="center"/>
    </xf>
    <xf numFmtId="169" fontId="21" fillId="0" borderId="45" xfId="0" applyNumberFormat="1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169" fontId="15" fillId="0" borderId="23" xfId="2" applyNumberFormat="1" applyFont="1" applyBorder="1" applyAlignment="1">
      <alignment horizontal="center"/>
    </xf>
    <xf numFmtId="169" fontId="15" fillId="0" borderId="128" xfId="2" applyNumberFormat="1" applyFont="1" applyBorder="1" applyAlignment="1">
      <alignment horizontal="center"/>
    </xf>
    <xf numFmtId="169" fontId="15" fillId="0" borderId="86" xfId="2" applyNumberFormat="1" applyFont="1" applyBorder="1" applyAlignment="1">
      <alignment horizontal="center"/>
    </xf>
    <xf numFmtId="169" fontId="15" fillId="0" borderId="83" xfId="2" applyNumberFormat="1" applyFont="1" applyBorder="1" applyAlignment="1">
      <alignment horizontal="center"/>
    </xf>
    <xf numFmtId="169" fontId="7" fillId="0" borderId="130" xfId="2" applyNumberFormat="1" applyFont="1" applyBorder="1" applyAlignment="1">
      <alignment horizontal="center"/>
    </xf>
    <xf numFmtId="169" fontId="7" fillId="0" borderId="13" xfId="2" applyNumberFormat="1" applyFont="1" applyBorder="1" applyAlignment="1">
      <alignment horizontal="center"/>
    </xf>
    <xf numFmtId="169" fontId="7" fillId="0" borderId="121" xfId="2" applyNumberFormat="1" applyFont="1" applyBorder="1" applyAlignment="1">
      <alignment horizontal="center"/>
    </xf>
    <xf numFmtId="0" fontId="7" fillId="0" borderId="13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72" fontId="15" fillId="0" borderId="99" xfId="1" applyNumberFormat="1" applyFont="1" applyBorder="1" applyAlignment="1">
      <alignment horizontal="center"/>
    </xf>
    <xf numFmtId="172" fontId="15" fillId="0" borderId="8" xfId="1" applyNumberFormat="1" applyFont="1" applyBorder="1" applyAlignment="1">
      <alignment horizontal="center"/>
    </xf>
    <xf numFmtId="172" fontId="15" fillId="0" borderId="102" xfId="1" applyNumberFormat="1" applyFont="1" applyBorder="1" applyAlignment="1">
      <alignment horizontal="center"/>
    </xf>
    <xf numFmtId="172" fontId="15" fillId="0" borderId="57" xfId="1" applyNumberFormat="1" applyFont="1" applyBorder="1" applyAlignment="1">
      <alignment horizontal="center"/>
    </xf>
    <xf numFmtId="169" fontId="15" fillId="0" borderId="45" xfId="0" applyNumberFormat="1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169" fontId="15" fillId="0" borderId="47" xfId="2" applyNumberFormat="1" applyFont="1" applyBorder="1" applyAlignment="1">
      <alignment horizontal="center"/>
    </xf>
    <xf numFmtId="169" fontId="15" fillId="0" borderId="8" xfId="2" applyNumberFormat="1" applyFont="1" applyBorder="1" applyAlignment="1">
      <alignment horizontal="center"/>
    </xf>
    <xf numFmtId="169" fontId="15" fillId="0" borderId="57" xfId="2" applyNumberFormat="1" applyFont="1" applyBorder="1" applyAlignment="1">
      <alignment horizontal="center"/>
    </xf>
    <xf numFmtId="0" fontId="4" fillId="0" borderId="133" xfId="0" applyNumberFormat="1" applyFont="1" applyBorder="1" applyAlignment="1">
      <alignment horizontal="center" vertical="center"/>
    </xf>
    <xf numFmtId="0" fontId="4" fillId="0" borderId="134" xfId="0" applyNumberFormat="1" applyFont="1" applyBorder="1" applyAlignment="1">
      <alignment horizontal="center" vertical="center"/>
    </xf>
    <xf numFmtId="0" fontId="1" fillId="0" borderId="135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136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4" fillId="0" borderId="131" xfId="0" applyNumberFormat="1" applyFont="1" applyBorder="1" applyAlignment="1">
      <alignment horizontal="center" vertical="center"/>
    </xf>
    <xf numFmtId="0" fontId="4" fillId="0" borderId="132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0" fillId="0" borderId="45" xfId="0" applyBorder="1" applyAlignment="1"/>
    <xf numFmtId="0" fontId="0" fillId="0" borderId="129" xfId="0" applyBorder="1" applyAlignment="1"/>
    <xf numFmtId="0" fontId="7" fillId="3" borderId="45" xfId="0" applyFont="1" applyFill="1" applyBorder="1" applyAlignment="1">
      <alignment horizontal="center" wrapText="1"/>
    </xf>
    <xf numFmtId="0" fontId="7" fillId="3" borderId="129" xfId="0" applyFont="1" applyFill="1" applyBorder="1" applyAlignment="1">
      <alignment horizontal="center" wrapText="1"/>
    </xf>
    <xf numFmtId="0" fontId="7" fillId="3" borderId="25" xfId="0" applyFont="1" applyFill="1" applyBorder="1" applyAlignment="1">
      <alignment horizontal="center" wrapText="1"/>
    </xf>
    <xf numFmtId="0" fontId="0" fillId="3" borderId="45" xfId="0" applyFill="1" applyBorder="1" applyAlignment="1"/>
    <xf numFmtId="0" fontId="7" fillId="7" borderId="25" xfId="0" applyFont="1" applyFill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7" fillId="7" borderId="129" xfId="0" applyFont="1" applyFill="1" applyBorder="1" applyAlignment="1">
      <alignment horizontal="center"/>
    </xf>
    <xf numFmtId="0" fontId="0" fillId="7" borderId="129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0" fillId="3" borderId="129" xfId="0" applyFill="1" applyBorder="1" applyAlignment="1">
      <alignment horizontal="center"/>
    </xf>
  </cellXfs>
  <cellStyles count="4">
    <cellStyle name="Comma" xfId="1" builtinId="3"/>
    <cellStyle name="Currency" xfId="2" builtinId="4"/>
    <cellStyle name="Currency 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8097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15875</xdr:colOff>
      <xdr:row>3</xdr:row>
      <xdr:rowOff>41275</xdr:rowOff>
    </xdr:from>
    <xdr:to>
      <xdr:col>5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8256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9431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15875</xdr:colOff>
      <xdr:row>3</xdr:row>
      <xdr:rowOff>41275</xdr:rowOff>
    </xdr:from>
    <xdr:to>
      <xdr:col>6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9589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0764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20923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55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22098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41275</xdr:colOff>
      <xdr:row>3</xdr:row>
      <xdr:rowOff>41275</xdr:rowOff>
    </xdr:from>
    <xdr:to>
      <xdr:col>8</xdr:col>
      <xdr:colOff>92075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225107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3431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3590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4765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3</xdr:row>
      <xdr:rowOff>41275</xdr:rowOff>
    </xdr:from>
    <xdr:to>
      <xdr:col>10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4923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91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6098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6257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89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743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759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876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41275</xdr:colOff>
      <xdr:row>3</xdr:row>
      <xdr:rowOff>41275</xdr:rowOff>
    </xdr:from>
    <xdr:to>
      <xdr:col>13</xdr:col>
      <xdr:colOff>92075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9178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3009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3025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97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3143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3159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3276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3292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409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3</xdr:row>
      <xdr:rowOff>41275</xdr:rowOff>
    </xdr:from>
    <xdr:to>
      <xdr:col>17</xdr:col>
      <xdr:colOff>92075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4512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543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123825</xdr:colOff>
      <xdr:row>3</xdr:row>
      <xdr:rowOff>41275</xdr:rowOff>
    </xdr:from>
    <xdr:to>
      <xdr:col>19</xdr:col>
      <xdr:colOff>9525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5337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100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676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1" name="Rectangle 30"/>
        <xdr:cNvSpPr/>
      </xdr:nvSpPr>
      <xdr:spPr>
        <a:xfrm>
          <a:off x="3692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93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2" name="Rectangle 31"/>
        <xdr:cNvSpPr/>
      </xdr:nvSpPr>
      <xdr:spPr>
        <a:xfrm>
          <a:off x="3810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123825</xdr:colOff>
      <xdr:row>3</xdr:row>
      <xdr:rowOff>41275</xdr:rowOff>
    </xdr:from>
    <xdr:to>
      <xdr:col>21</xdr:col>
      <xdr:colOff>9525</xdr:colOff>
      <xdr:row>3</xdr:row>
      <xdr:rowOff>168275</xdr:rowOff>
    </xdr:to>
    <xdr:sp macro="" textlink="">
      <xdr:nvSpPr>
        <xdr:cNvPr id="33" name="Rectangle 32"/>
        <xdr:cNvSpPr/>
      </xdr:nvSpPr>
      <xdr:spPr>
        <a:xfrm>
          <a:off x="3800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32</xdr:col>
      <xdr:colOff>0</xdr:colOff>
      <xdr:row>3</xdr:row>
      <xdr:rowOff>0</xdr:rowOff>
    </xdr:from>
    <xdr:to>
      <xdr:col>33</xdr:col>
      <xdr:colOff>0</xdr:colOff>
      <xdr:row>4</xdr:row>
      <xdr:rowOff>0</xdr:rowOff>
    </xdr:to>
    <xdr:sp macro="" textlink="">
      <xdr:nvSpPr>
        <xdr:cNvPr id="34" name="Rectangle 33"/>
        <xdr:cNvSpPr/>
      </xdr:nvSpPr>
      <xdr:spPr>
        <a:xfrm>
          <a:off x="5410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3</xdr:row>
      <xdr:rowOff>41275</xdr:rowOff>
    </xdr:from>
    <xdr:to>
      <xdr:col>32</xdr:col>
      <xdr:colOff>117475</xdr:colOff>
      <xdr:row>3</xdr:row>
      <xdr:rowOff>168275</xdr:rowOff>
    </xdr:to>
    <xdr:sp macro="" textlink="">
      <xdr:nvSpPr>
        <xdr:cNvPr id="35" name="Rectangle 34"/>
        <xdr:cNvSpPr/>
      </xdr:nvSpPr>
      <xdr:spPr>
        <a:xfrm>
          <a:off x="5426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77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36" name="Rectangle 35"/>
        <xdr:cNvSpPr/>
      </xdr:nvSpPr>
      <xdr:spPr>
        <a:xfrm>
          <a:off x="5543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37" name="Rectangle 36"/>
        <xdr:cNvSpPr/>
      </xdr:nvSpPr>
      <xdr:spPr>
        <a:xfrm>
          <a:off x="55594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82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38" name="Rectangle 37"/>
        <xdr:cNvSpPr/>
      </xdr:nvSpPr>
      <xdr:spPr>
        <a:xfrm>
          <a:off x="5676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39" name="Rectangle 38"/>
        <xdr:cNvSpPr/>
      </xdr:nvSpPr>
      <xdr:spPr>
        <a:xfrm>
          <a:off x="5692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0" name="Rectangle 39"/>
        <xdr:cNvSpPr/>
      </xdr:nvSpPr>
      <xdr:spPr>
        <a:xfrm>
          <a:off x="5810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1" name="Rectangle 40"/>
        <xdr:cNvSpPr/>
      </xdr:nvSpPr>
      <xdr:spPr>
        <a:xfrm>
          <a:off x="5826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2" name="Rectangle 41"/>
        <xdr:cNvSpPr/>
      </xdr:nvSpPr>
      <xdr:spPr>
        <a:xfrm>
          <a:off x="5943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3" name="Rectangle 42"/>
        <xdr:cNvSpPr/>
      </xdr:nvSpPr>
      <xdr:spPr>
        <a:xfrm>
          <a:off x="5959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87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4" name="Rectangle 43"/>
        <xdr:cNvSpPr/>
      </xdr:nvSpPr>
      <xdr:spPr>
        <a:xfrm>
          <a:off x="6076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45" name="Rectangle 44"/>
        <xdr:cNvSpPr/>
      </xdr:nvSpPr>
      <xdr:spPr>
        <a:xfrm>
          <a:off x="60928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76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46" name="Rectangle 45"/>
        <xdr:cNvSpPr/>
      </xdr:nvSpPr>
      <xdr:spPr>
        <a:xfrm>
          <a:off x="6210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47" name="Rectangle 46"/>
        <xdr:cNvSpPr/>
      </xdr:nvSpPr>
      <xdr:spPr>
        <a:xfrm>
          <a:off x="62261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40</xdr:col>
      <xdr:colOff>0</xdr:colOff>
      <xdr:row>4</xdr:row>
      <xdr:rowOff>0</xdr:rowOff>
    </xdr:to>
    <xdr:sp macro="" textlink="">
      <xdr:nvSpPr>
        <xdr:cNvPr id="48" name="Rectangle 47"/>
        <xdr:cNvSpPr/>
      </xdr:nvSpPr>
      <xdr:spPr>
        <a:xfrm>
          <a:off x="6343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15875</xdr:colOff>
      <xdr:row>3</xdr:row>
      <xdr:rowOff>41275</xdr:rowOff>
    </xdr:from>
    <xdr:to>
      <xdr:col>39</xdr:col>
      <xdr:colOff>117475</xdr:colOff>
      <xdr:row>3</xdr:row>
      <xdr:rowOff>168275</xdr:rowOff>
    </xdr:to>
    <xdr:sp macro="" textlink="">
      <xdr:nvSpPr>
        <xdr:cNvPr id="49" name="Rectangle 48"/>
        <xdr:cNvSpPr/>
      </xdr:nvSpPr>
      <xdr:spPr>
        <a:xfrm>
          <a:off x="6359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40</xdr:col>
      <xdr:colOff>0</xdr:colOff>
      <xdr:row>3</xdr:row>
      <xdr:rowOff>0</xdr:rowOff>
    </xdr:from>
    <xdr:to>
      <xdr:col>41</xdr:col>
      <xdr:colOff>0</xdr:colOff>
      <xdr:row>4</xdr:row>
      <xdr:rowOff>0</xdr:rowOff>
    </xdr:to>
    <xdr:sp macro="" textlink="">
      <xdr:nvSpPr>
        <xdr:cNvPr id="50" name="Rectangle 49"/>
        <xdr:cNvSpPr/>
      </xdr:nvSpPr>
      <xdr:spPr>
        <a:xfrm>
          <a:off x="6477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123825</xdr:colOff>
      <xdr:row>3</xdr:row>
      <xdr:rowOff>41275</xdr:rowOff>
    </xdr:from>
    <xdr:to>
      <xdr:col>41</xdr:col>
      <xdr:colOff>9525</xdr:colOff>
      <xdr:row>3</xdr:row>
      <xdr:rowOff>168275</xdr:rowOff>
    </xdr:to>
    <xdr:sp macro="" textlink="">
      <xdr:nvSpPr>
        <xdr:cNvPr id="51" name="Rectangle 50"/>
        <xdr:cNvSpPr/>
      </xdr:nvSpPr>
      <xdr:spPr>
        <a:xfrm>
          <a:off x="6467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52" name="Rectangle 51"/>
        <xdr:cNvSpPr/>
      </xdr:nvSpPr>
      <xdr:spPr>
        <a:xfrm>
          <a:off x="34099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19</xdr:col>
      <xdr:colOff>0</xdr:colOff>
      <xdr:row>23</xdr:row>
      <xdr:rowOff>0</xdr:rowOff>
    </xdr:to>
    <xdr:sp macro="" textlink="">
      <xdr:nvSpPr>
        <xdr:cNvPr id="53" name="Rectangle 52"/>
        <xdr:cNvSpPr/>
      </xdr:nvSpPr>
      <xdr:spPr>
        <a:xfrm>
          <a:off x="354330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54" name="Rectangle 53"/>
        <xdr:cNvSpPr/>
      </xdr:nvSpPr>
      <xdr:spPr>
        <a:xfrm>
          <a:off x="36766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5" name="Rectangle 54"/>
        <xdr:cNvSpPr/>
      </xdr:nvSpPr>
      <xdr:spPr>
        <a:xfrm>
          <a:off x="12763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41275</xdr:colOff>
      <xdr:row>25</xdr:row>
      <xdr:rowOff>41275</xdr:rowOff>
    </xdr:from>
    <xdr:to>
      <xdr:col>1</xdr:col>
      <xdr:colOff>92075</xdr:colOff>
      <xdr:row>25</xdr:row>
      <xdr:rowOff>168275</xdr:rowOff>
    </xdr:to>
    <xdr:sp macro="" textlink="">
      <xdr:nvSpPr>
        <xdr:cNvPr id="56" name="Rectangle 55"/>
        <xdr:cNvSpPr/>
      </xdr:nvSpPr>
      <xdr:spPr>
        <a:xfrm>
          <a:off x="13176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7" name="Rectangle 56"/>
        <xdr:cNvSpPr/>
      </xdr:nvSpPr>
      <xdr:spPr>
        <a:xfrm>
          <a:off x="18097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25</xdr:row>
      <xdr:rowOff>41275</xdr:rowOff>
    </xdr:from>
    <xdr:to>
      <xdr:col>5</xdr:col>
      <xdr:colOff>92075</xdr:colOff>
      <xdr:row>25</xdr:row>
      <xdr:rowOff>168275</xdr:rowOff>
    </xdr:to>
    <xdr:sp macro="" textlink="">
      <xdr:nvSpPr>
        <xdr:cNvPr id="58" name="Rectangle 57"/>
        <xdr:cNvSpPr/>
      </xdr:nvSpPr>
      <xdr:spPr>
        <a:xfrm>
          <a:off x="18510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59" name="Rectangle 58"/>
        <xdr:cNvSpPr/>
      </xdr:nvSpPr>
      <xdr:spPr>
        <a:xfrm>
          <a:off x="23431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41275</xdr:colOff>
      <xdr:row>25</xdr:row>
      <xdr:rowOff>41275</xdr:rowOff>
    </xdr:from>
    <xdr:to>
      <xdr:col>9</xdr:col>
      <xdr:colOff>92075</xdr:colOff>
      <xdr:row>25</xdr:row>
      <xdr:rowOff>168275</xdr:rowOff>
    </xdr:to>
    <xdr:sp macro="" textlink="">
      <xdr:nvSpPr>
        <xdr:cNvPr id="60" name="Rectangle 59"/>
        <xdr:cNvSpPr/>
      </xdr:nvSpPr>
      <xdr:spPr>
        <a:xfrm>
          <a:off x="23844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61" name="Rectangle 60"/>
        <xdr:cNvSpPr/>
      </xdr:nvSpPr>
      <xdr:spPr>
        <a:xfrm>
          <a:off x="30099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25</xdr:row>
      <xdr:rowOff>41275</xdr:rowOff>
    </xdr:from>
    <xdr:to>
      <xdr:col>14</xdr:col>
      <xdr:colOff>92075</xdr:colOff>
      <xdr:row>25</xdr:row>
      <xdr:rowOff>168275</xdr:rowOff>
    </xdr:to>
    <xdr:sp macro="" textlink="">
      <xdr:nvSpPr>
        <xdr:cNvPr id="62" name="Rectangle 61"/>
        <xdr:cNvSpPr/>
      </xdr:nvSpPr>
      <xdr:spPr>
        <a:xfrm>
          <a:off x="30511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63" name="Rectangle 62"/>
        <xdr:cNvSpPr/>
      </xdr:nvSpPr>
      <xdr:spPr>
        <a:xfrm>
          <a:off x="35433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25</xdr:row>
      <xdr:rowOff>41275</xdr:rowOff>
    </xdr:from>
    <xdr:to>
      <xdr:col>18</xdr:col>
      <xdr:colOff>92075</xdr:colOff>
      <xdr:row>25</xdr:row>
      <xdr:rowOff>168275</xdr:rowOff>
    </xdr:to>
    <xdr:sp macro="" textlink="">
      <xdr:nvSpPr>
        <xdr:cNvPr id="64" name="Rectangle 63"/>
        <xdr:cNvSpPr/>
      </xdr:nvSpPr>
      <xdr:spPr>
        <a:xfrm>
          <a:off x="35845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25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65" name="Rectangle 64"/>
        <xdr:cNvSpPr/>
      </xdr:nvSpPr>
      <xdr:spPr>
        <a:xfrm>
          <a:off x="42100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41275</xdr:colOff>
      <xdr:row>25</xdr:row>
      <xdr:rowOff>41275</xdr:rowOff>
    </xdr:from>
    <xdr:to>
      <xdr:col>23</xdr:col>
      <xdr:colOff>92075</xdr:colOff>
      <xdr:row>25</xdr:row>
      <xdr:rowOff>168275</xdr:rowOff>
    </xdr:to>
    <xdr:sp macro="" textlink="">
      <xdr:nvSpPr>
        <xdr:cNvPr id="66" name="Rectangle 65"/>
        <xdr:cNvSpPr/>
      </xdr:nvSpPr>
      <xdr:spPr>
        <a:xfrm>
          <a:off x="42513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28</xdr:col>
      <xdr:colOff>0</xdr:colOff>
      <xdr:row>26</xdr:row>
      <xdr:rowOff>0</xdr:rowOff>
    </xdr:to>
    <xdr:sp macro="" textlink="">
      <xdr:nvSpPr>
        <xdr:cNvPr id="67" name="Rectangle 66"/>
        <xdr:cNvSpPr/>
      </xdr:nvSpPr>
      <xdr:spPr>
        <a:xfrm>
          <a:off x="47434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41275</xdr:colOff>
      <xdr:row>25</xdr:row>
      <xdr:rowOff>41275</xdr:rowOff>
    </xdr:from>
    <xdr:to>
      <xdr:col>27</xdr:col>
      <xdr:colOff>92075</xdr:colOff>
      <xdr:row>25</xdr:row>
      <xdr:rowOff>168275</xdr:rowOff>
    </xdr:to>
    <xdr:sp macro="" textlink="">
      <xdr:nvSpPr>
        <xdr:cNvPr id="68" name="Rectangle 67"/>
        <xdr:cNvSpPr/>
      </xdr:nvSpPr>
      <xdr:spPr>
        <a:xfrm>
          <a:off x="47847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25</xdr:row>
      <xdr:rowOff>0</xdr:rowOff>
    </xdr:from>
    <xdr:to>
      <xdr:col>37</xdr:col>
      <xdr:colOff>0</xdr:colOff>
      <xdr:row>26</xdr:row>
      <xdr:rowOff>0</xdr:rowOff>
    </xdr:to>
    <xdr:sp macro="" textlink="">
      <xdr:nvSpPr>
        <xdr:cNvPr id="69" name="Rectangle 68"/>
        <xdr:cNvSpPr/>
      </xdr:nvSpPr>
      <xdr:spPr>
        <a:xfrm>
          <a:off x="59436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25</xdr:row>
      <xdr:rowOff>41275</xdr:rowOff>
    </xdr:from>
    <xdr:to>
      <xdr:col>36</xdr:col>
      <xdr:colOff>92075</xdr:colOff>
      <xdr:row>25</xdr:row>
      <xdr:rowOff>168275</xdr:rowOff>
    </xdr:to>
    <xdr:sp macro="" textlink="">
      <xdr:nvSpPr>
        <xdr:cNvPr id="70" name="Rectangle 69"/>
        <xdr:cNvSpPr/>
      </xdr:nvSpPr>
      <xdr:spPr>
        <a:xfrm>
          <a:off x="59848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25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71" name="Rectangle 70"/>
        <xdr:cNvSpPr/>
      </xdr:nvSpPr>
      <xdr:spPr>
        <a:xfrm>
          <a:off x="64770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41275</xdr:colOff>
      <xdr:row>25</xdr:row>
      <xdr:rowOff>41275</xdr:rowOff>
    </xdr:from>
    <xdr:to>
      <xdr:col>40</xdr:col>
      <xdr:colOff>92075</xdr:colOff>
      <xdr:row>25</xdr:row>
      <xdr:rowOff>168275</xdr:rowOff>
    </xdr:to>
    <xdr:sp macro="" textlink="">
      <xdr:nvSpPr>
        <xdr:cNvPr id="72" name="Rectangle 71"/>
        <xdr:cNvSpPr/>
      </xdr:nvSpPr>
      <xdr:spPr>
        <a:xfrm>
          <a:off x="65182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44</xdr:col>
      <xdr:colOff>0</xdr:colOff>
      <xdr:row>25</xdr:row>
      <xdr:rowOff>0</xdr:rowOff>
    </xdr:from>
    <xdr:to>
      <xdr:col>45</xdr:col>
      <xdr:colOff>0</xdr:colOff>
      <xdr:row>26</xdr:row>
      <xdr:rowOff>0</xdr:rowOff>
    </xdr:to>
    <xdr:sp macro="" textlink="">
      <xdr:nvSpPr>
        <xdr:cNvPr id="73" name="Rectangle 72"/>
        <xdr:cNvSpPr/>
      </xdr:nvSpPr>
      <xdr:spPr>
        <a:xfrm>
          <a:off x="70104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41275</xdr:colOff>
      <xdr:row>25</xdr:row>
      <xdr:rowOff>41275</xdr:rowOff>
    </xdr:from>
    <xdr:to>
      <xdr:col>44</xdr:col>
      <xdr:colOff>92075</xdr:colOff>
      <xdr:row>25</xdr:row>
      <xdr:rowOff>168275</xdr:rowOff>
    </xdr:to>
    <xdr:sp macro="" textlink="">
      <xdr:nvSpPr>
        <xdr:cNvPr id="74" name="Rectangle 73"/>
        <xdr:cNvSpPr/>
      </xdr:nvSpPr>
      <xdr:spPr>
        <a:xfrm>
          <a:off x="70516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75" name="Rectangle 74"/>
        <xdr:cNvSpPr/>
      </xdr:nvSpPr>
      <xdr:spPr>
        <a:xfrm>
          <a:off x="3543300" y="17907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6" name="Rectangle 75"/>
        <xdr:cNvSpPr/>
      </xdr:nvSpPr>
      <xdr:spPr>
        <a:xfrm>
          <a:off x="18097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15875</xdr:colOff>
      <xdr:row>7</xdr:row>
      <xdr:rowOff>41275</xdr:rowOff>
    </xdr:from>
    <xdr:to>
      <xdr:col>5</xdr:col>
      <xdr:colOff>117475</xdr:colOff>
      <xdr:row>7</xdr:row>
      <xdr:rowOff>168275</xdr:rowOff>
    </xdr:to>
    <xdr:sp macro="" textlink="">
      <xdr:nvSpPr>
        <xdr:cNvPr id="77" name="Rectangle 76"/>
        <xdr:cNvSpPr/>
      </xdr:nvSpPr>
      <xdr:spPr>
        <a:xfrm>
          <a:off x="18256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8" name="Rectangle 77"/>
        <xdr:cNvSpPr/>
      </xdr:nvSpPr>
      <xdr:spPr>
        <a:xfrm>
          <a:off x="19431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15875</xdr:colOff>
      <xdr:row>7</xdr:row>
      <xdr:rowOff>41275</xdr:rowOff>
    </xdr:from>
    <xdr:to>
      <xdr:col>6</xdr:col>
      <xdr:colOff>117475</xdr:colOff>
      <xdr:row>7</xdr:row>
      <xdr:rowOff>168275</xdr:rowOff>
    </xdr:to>
    <xdr:sp macro="" textlink="">
      <xdr:nvSpPr>
        <xdr:cNvPr id="79" name="Rectangle 78"/>
        <xdr:cNvSpPr/>
      </xdr:nvSpPr>
      <xdr:spPr>
        <a:xfrm>
          <a:off x="19589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80" name="Rectangle 79"/>
        <xdr:cNvSpPr/>
      </xdr:nvSpPr>
      <xdr:spPr>
        <a:xfrm>
          <a:off x="20764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81" name="Rectangle 80"/>
        <xdr:cNvSpPr/>
      </xdr:nvSpPr>
      <xdr:spPr>
        <a:xfrm>
          <a:off x="20923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82" name="Rectangle 81"/>
        <xdr:cNvSpPr/>
      </xdr:nvSpPr>
      <xdr:spPr>
        <a:xfrm>
          <a:off x="22098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41275</xdr:colOff>
      <xdr:row>7</xdr:row>
      <xdr:rowOff>41275</xdr:rowOff>
    </xdr:from>
    <xdr:to>
      <xdr:col>8</xdr:col>
      <xdr:colOff>92075</xdr:colOff>
      <xdr:row>7</xdr:row>
      <xdr:rowOff>168275</xdr:rowOff>
    </xdr:to>
    <xdr:sp macro="" textlink="">
      <xdr:nvSpPr>
        <xdr:cNvPr id="83" name="Rectangle 82"/>
        <xdr:cNvSpPr/>
      </xdr:nvSpPr>
      <xdr:spPr>
        <a:xfrm>
          <a:off x="22510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4" name="Rectangle 83"/>
        <xdr:cNvSpPr/>
      </xdr:nvSpPr>
      <xdr:spPr>
        <a:xfrm>
          <a:off x="23431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5" name="Rectangle 84"/>
        <xdr:cNvSpPr/>
      </xdr:nvSpPr>
      <xdr:spPr>
        <a:xfrm>
          <a:off x="23590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6" name="Rectangle 85"/>
        <xdr:cNvSpPr/>
      </xdr:nvSpPr>
      <xdr:spPr>
        <a:xfrm>
          <a:off x="24765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7" name="Rectangle 86"/>
        <xdr:cNvSpPr/>
      </xdr:nvSpPr>
      <xdr:spPr>
        <a:xfrm>
          <a:off x="24923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8" name="Rectangle 87"/>
        <xdr:cNvSpPr/>
      </xdr:nvSpPr>
      <xdr:spPr>
        <a:xfrm>
          <a:off x="26098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9" name="Rectangle 88"/>
        <xdr:cNvSpPr/>
      </xdr:nvSpPr>
      <xdr:spPr>
        <a:xfrm>
          <a:off x="26257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90" name="Rectangle 89"/>
        <xdr:cNvSpPr/>
      </xdr:nvSpPr>
      <xdr:spPr>
        <a:xfrm>
          <a:off x="2743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91" name="Rectangle 90"/>
        <xdr:cNvSpPr/>
      </xdr:nvSpPr>
      <xdr:spPr>
        <a:xfrm>
          <a:off x="2759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" name="Rectangle 91"/>
        <xdr:cNvSpPr/>
      </xdr:nvSpPr>
      <xdr:spPr>
        <a:xfrm>
          <a:off x="2876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41275</xdr:colOff>
      <xdr:row>7</xdr:row>
      <xdr:rowOff>41275</xdr:rowOff>
    </xdr:from>
    <xdr:to>
      <xdr:col>13</xdr:col>
      <xdr:colOff>92075</xdr:colOff>
      <xdr:row>7</xdr:row>
      <xdr:rowOff>168275</xdr:rowOff>
    </xdr:to>
    <xdr:sp macro="" textlink="">
      <xdr:nvSpPr>
        <xdr:cNvPr id="93" name="Rectangle 92"/>
        <xdr:cNvSpPr/>
      </xdr:nvSpPr>
      <xdr:spPr>
        <a:xfrm>
          <a:off x="29178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4" name="Rectangle 93"/>
        <xdr:cNvSpPr/>
      </xdr:nvSpPr>
      <xdr:spPr>
        <a:xfrm>
          <a:off x="3009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95" name="Rectangle 94"/>
        <xdr:cNvSpPr/>
      </xdr:nvSpPr>
      <xdr:spPr>
        <a:xfrm>
          <a:off x="3025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6" name="Rectangle 95"/>
        <xdr:cNvSpPr/>
      </xdr:nvSpPr>
      <xdr:spPr>
        <a:xfrm>
          <a:off x="3143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7" name="Rectangle 96"/>
        <xdr:cNvSpPr/>
      </xdr:nvSpPr>
      <xdr:spPr>
        <a:xfrm>
          <a:off x="3159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8" name="Rectangle 97"/>
        <xdr:cNvSpPr/>
      </xdr:nvSpPr>
      <xdr:spPr>
        <a:xfrm>
          <a:off x="3276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9" name="Rectangle 98"/>
        <xdr:cNvSpPr/>
      </xdr:nvSpPr>
      <xdr:spPr>
        <a:xfrm>
          <a:off x="3292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0" name="Rectangle 99"/>
        <xdr:cNvSpPr/>
      </xdr:nvSpPr>
      <xdr:spPr>
        <a:xfrm>
          <a:off x="3409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101" name="Rectangle 100"/>
        <xdr:cNvSpPr/>
      </xdr:nvSpPr>
      <xdr:spPr>
        <a:xfrm>
          <a:off x="3451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2" name="Rectangle 101"/>
        <xdr:cNvSpPr/>
      </xdr:nvSpPr>
      <xdr:spPr>
        <a:xfrm>
          <a:off x="3543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3" name="Rectangle 102"/>
        <xdr:cNvSpPr/>
      </xdr:nvSpPr>
      <xdr:spPr>
        <a:xfrm>
          <a:off x="35591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4" name="Rectangle 103"/>
        <xdr:cNvSpPr/>
      </xdr:nvSpPr>
      <xdr:spPr>
        <a:xfrm>
          <a:off x="3676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5" name="Rectangle 104"/>
        <xdr:cNvSpPr/>
      </xdr:nvSpPr>
      <xdr:spPr>
        <a:xfrm>
          <a:off x="3692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45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" name="Rectangle 105"/>
        <xdr:cNvSpPr/>
      </xdr:nvSpPr>
      <xdr:spPr>
        <a:xfrm>
          <a:off x="3810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7" name="Rectangle 106"/>
        <xdr:cNvSpPr/>
      </xdr:nvSpPr>
      <xdr:spPr>
        <a:xfrm>
          <a:off x="3825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32</xdr:col>
      <xdr:colOff>0</xdr:colOff>
      <xdr:row>7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8" name="Rectangle 107"/>
        <xdr:cNvSpPr/>
      </xdr:nvSpPr>
      <xdr:spPr>
        <a:xfrm>
          <a:off x="5410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7</xdr:row>
      <xdr:rowOff>41275</xdr:rowOff>
    </xdr:from>
    <xdr:to>
      <xdr:col>32</xdr:col>
      <xdr:colOff>117475</xdr:colOff>
      <xdr:row>7</xdr:row>
      <xdr:rowOff>168275</xdr:rowOff>
    </xdr:to>
    <xdr:sp macro="" textlink="">
      <xdr:nvSpPr>
        <xdr:cNvPr id="109" name="Rectangle 108"/>
        <xdr:cNvSpPr/>
      </xdr:nvSpPr>
      <xdr:spPr>
        <a:xfrm>
          <a:off x="5426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0" name="Rectangle 109"/>
        <xdr:cNvSpPr/>
      </xdr:nvSpPr>
      <xdr:spPr>
        <a:xfrm>
          <a:off x="5543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1" name="Rectangle 110"/>
        <xdr:cNvSpPr/>
      </xdr:nvSpPr>
      <xdr:spPr>
        <a:xfrm>
          <a:off x="55594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2" name="Rectangle 111"/>
        <xdr:cNvSpPr/>
      </xdr:nvSpPr>
      <xdr:spPr>
        <a:xfrm>
          <a:off x="5676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3" name="Rectangle 112"/>
        <xdr:cNvSpPr/>
      </xdr:nvSpPr>
      <xdr:spPr>
        <a:xfrm>
          <a:off x="5692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4" name="Rectangle 113"/>
        <xdr:cNvSpPr/>
      </xdr:nvSpPr>
      <xdr:spPr>
        <a:xfrm>
          <a:off x="5810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5" name="Rectangle 114"/>
        <xdr:cNvSpPr/>
      </xdr:nvSpPr>
      <xdr:spPr>
        <a:xfrm>
          <a:off x="5826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6" name="Rectangle 115"/>
        <xdr:cNvSpPr/>
      </xdr:nvSpPr>
      <xdr:spPr>
        <a:xfrm>
          <a:off x="5943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7" name="Rectangle 116"/>
        <xdr:cNvSpPr/>
      </xdr:nvSpPr>
      <xdr:spPr>
        <a:xfrm>
          <a:off x="5959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8" name="Rectangle 117"/>
        <xdr:cNvSpPr/>
      </xdr:nvSpPr>
      <xdr:spPr>
        <a:xfrm>
          <a:off x="6076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7</xdr:row>
      <xdr:rowOff>41275</xdr:rowOff>
    </xdr:from>
    <xdr:to>
      <xdr:col>37</xdr:col>
      <xdr:colOff>92075</xdr:colOff>
      <xdr:row>7</xdr:row>
      <xdr:rowOff>168275</xdr:rowOff>
    </xdr:to>
    <xdr:sp macro="" textlink="">
      <xdr:nvSpPr>
        <xdr:cNvPr id="119" name="Rectangle 118"/>
        <xdr:cNvSpPr/>
      </xdr:nvSpPr>
      <xdr:spPr>
        <a:xfrm>
          <a:off x="6118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20" name="Rectangle 119"/>
        <xdr:cNvSpPr/>
      </xdr:nvSpPr>
      <xdr:spPr>
        <a:xfrm>
          <a:off x="6210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7</xdr:row>
      <xdr:rowOff>41275</xdr:rowOff>
    </xdr:from>
    <xdr:to>
      <xdr:col>38</xdr:col>
      <xdr:colOff>92075</xdr:colOff>
      <xdr:row>7</xdr:row>
      <xdr:rowOff>168275</xdr:rowOff>
    </xdr:to>
    <xdr:sp macro="" textlink="">
      <xdr:nvSpPr>
        <xdr:cNvPr id="121" name="Rectangle 120"/>
        <xdr:cNvSpPr/>
      </xdr:nvSpPr>
      <xdr:spPr>
        <a:xfrm>
          <a:off x="62515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7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122" name="Rectangle 121"/>
        <xdr:cNvSpPr/>
      </xdr:nvSpPr>
      <xdr:spPr>
        <a:xfrm>
          <a:off x="6343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15875</xdr:colOff>
      <xdr:row>7</xdr:row>
      <xdr:rowOff>41275</xdr:rowOff>
    </xdr:from>
    <xdr:to>
      <xdr:col>39</xdr:col>
      <xdr:colOff>117475</xdr:colOff>
      <xdr:row>7</xdr:row>
      <xdr:rowOff>168275</xdr:rowOff>
    </xdr:to>
    <xdr:sp macro="" textlink="">
      <xdr:nvSpPr>
        <xdr:cNvPr id="123" name="Rectangle 122"/>
        <xdr:cNvSpPr/>
      </xdr:nvSpPr>
      <xdr:spPr>
        <a:xfrm>
          <a:off x="6359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41</xdr:col>
      <xdr:colOff>0</xdr:colOff>
      <xdr:row>8</xdr:row>
      <xdr:rowOff>0</xdr:rowOff>
    </xdr:to>
    <xdr:sp macro="" textlink="">
      <xdr:nvSpPr>
        <xdr:cNvPr id="124" name="Rectangle 123"/>
        <xdr:cNvSpPr/>
      </xdr:nvSpPr>
      <xdr:spPr>
        <a:xfrm>
          <a:off x="6477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15875</xdr:colOff>
      <xdr:row>7</xdr:row>
      <xdr:rowOff>41275</xdr:rowOff>
    </xdr:from>
    <xdr:to>
      <xdr:col>40</xdr:col>
      <xdr:colOff>117475</xdr:colOff>
      <xdr:row>7</xdr:row>
      <xdr:rowOff>168275</xdr:rowOff>
    </xdr:to>
    <xdr:sp macro="" textlink="">
      <xdr:nvSpPr>
        <xdr:cNvPr id="125" name="Rectangle 124"/>
        <xdr:cNvSpPr/>
      </xdr:nvSpPr>
      <xdr:spPr>
        <a:xfrm>
          <a:off x="6492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42</xdr:col>
      <xdr:colOff>0</xdr:colOff>
      <xdr:row>7</xdr:row>
      <xdr:rowOff>0</xdr:rowOff>
    </xdr:from>
    <xdr:to>
      <xdr:col>43</xdr:col>
      <xdr:colOff>0</xdr:colOff>
      <xdr:row>8</xdr:row>
      <xdr:rowOff>0</xdr:rowOff>
    </xdr:to>
    <xdr:sp macro="" textlink="">
      <xdr:nvSpPr>
        <xdr:cNvPr id="126" name="Rectangle 125"/>
        <xdr:cNvSpPr/>
      </xdr:nvSpPr>
      <xdr:spPr>
        <a:xfrm>
          <a:off x="67437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41275</xdr:colOff>
      <xdr:row>7</xdr:row>
      <xdr:rowOff>41275</xdr:rowOff>
    </xdr:from>
    <xdr:to>
      <xdr:col>42</xdr:col>
      <xdr:colOff>92075</xdr:colOff>
      <xdr:row>7</xdr:row>
      <xdr:rowOff>168275</xdr:rowOff>
    </xdr:to>
    <xdr:sp macro="" textlink="">
      <xdr:nvSpPr>
        <xdr:cNvPr id="127" name="Rectangle 126"/>
        <xdr:cNvSpPr/>
      </xdr:nvSpPr>
      <xdr:spPr>
        <a:xfrm>
          <a:off x="67849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43</xdr:col>
      <xdr:colOff>0</xdr:colOff>
      <xdr:row>7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128" name="Rectangle 127"/>
        <xdr:cNvSpPr/>
      </xdr:nvSpPr>
      <xdr:spPr>
        <a:xfrm>
          <a:off x="68770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15875</xdr:colOff>
      <xdr:row>7</xdr:row>
      <xdr:rowOff>41275</xdr:rowOff>
    </xdr:from>
    <xdr:to>
      <xdr:col>43</xdr:col>
      <xdr:colOff>117475</xdr:colOff>
      <xdr:row>7</xdr:row>
      <xdr:rowOff>168275</xdr:rowOff>
    </xdr:to>
    <xdr:sp macro="" textlink="">
      <xdr:nvSpPr>
        <xdr:cNvPr id="129" name="Rectangle 128"/>
        <xdr:cNvSpPr/>
      </xdr:nvSpPr>
      <xdr:spPr>
        <a:xfrm>
          <a:off x="68929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130" name="Rectangle 129"/>
        <xdr:cNvSpPr/>
      </xdr:nvSpPr>
      <xdr:spPr>
        <a:xfrm>
          <a:off x="70104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41275</xdr:colOff>
      <xdr:row>7</xdr:row>
      <xdr:rowOff>41275</xdr:rowOff>
    </xdr:from>
    <xdr:to>
      <xdr:col>44</xdr:col>
      <xdr:colOff>92075</xdr:colOff>
      <xdr:row>7</xdr:row>
      <xdr:rowOff>168275</xdr:rowOff>
    </xdr:to>
    <xdr:sp macro="" textlink="">
      <xdr:nvSpPr>
        <xdr:cNvPr id="131" name="Rectangle 130"/>
        <xdr:cNvSpPr/>
      </xdr:nvSpPr>
      <xdr:spPr>
        <a:xfrm>
          <a:off x="70516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32" name="Rectangle 131"/>
        <xdr:cNvSpPr/>
      </xdr:nvSpPr>
      <xdr:spPr>
        <a:xfrm>
          <a:off x="18097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19431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41275</xdr:colOff>
      <xdr:row>11</xdr:row>
      <xdr:rowOff>41275</xdr:rowOff>
    </xdr:from>
    <xdr:to>
      <xdr:col>6</xdr:col>
      <xdr:colOff>92075</xdr:colOff>
      <xdr:row>11</xdr:row>
      <xdr:rowOff>168275</xdr:rowOff>
    </xdr:to>
    <xdr:sp macro="" textlink="">
      <xdr:nvSpPr>
        <xdr:cNvPr id="134" name="Rectangle 133"/>
        <xdr:cNvSpPr/>
      </xdr:nvSpPr>
      <xdr:spPr>
        <a:xfrm>
          <a:off x="19843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2076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41275</xdr:colOff>
      <xdr:row>11</xdr:row>
      <xdr:rowOff>41275</xdr:rowOff>
    </xdr:from>
    <xdr:to>
      <xdr:col>7</xdr:col>
      <xdr:colOff>92075</xdr:colOff>
      <xdr:row>11</xdr:row>
      <xdr:rowOff>168275</xdr:rowOff>
    </xdr:to>
    <xdr:sp macro="" textlink="">
      <xdr:nvSpPr>
        <xdr:cNvPr id="136" name="Rectangle 135"/>
        <xdr:cNvSpPr/>
      </xdr:nvSpPr>
      <xdr:spPr>
        <a:xfrm>
          <a:off x="21177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7" name="Rectangle 136"/>
        <xdr:cNvSpPr/>
      </xdr:nvSpPr>
      <xdr:spPr>
        <a:xfrm>
          <a:off x="22098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23431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41275</xdr:colOff>
      <xdr:row>11</xdr:row>
      <xdr:rowOff>41275</xdr:rowOff>
    </xdr:from>
    <xdr:to>
      <xdr:col>9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23844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24765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11</xdr:row>
      <xdr:rowOff>41275</xdr:rowOff>
    </xdr:from>
    <xdr:to>
      <xdr:col>10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25177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26098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41275</xdr:colOff>
      <xdr:row>11</xdr:row>
      <xdr:rowOff>41275</xdr:rowOff>
    </xdr:from>
    <xdr:to>
      <xdr:col>11</xdr:col>
      <xdr:colOff>92075</xdr:colOff>
      <xdr:row>11</xdr:row>
      <xdr:rowOff>168275</xdr:rowOff>
    </xdr:to>
    <xdr:sp macro="" textlink="">
      <xdr:nvSpPr>
        <xdr:cNvPr id="143" name="Rectangle 142"/>
        <xdr:cNvSpPr/>
      </xdr:nvSpPr>
      <xdr:spPr>
        <a:xfrm>
          <a:off x="26511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2743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41275</xdr:colOff>
      <xdr:row>11</xdr:row>
      <xdr:rowOff>41275</xdr:rowOff>
    </xdr:from>
    <xdr:to>
      <xdr:col>12</xdr:col>
      <xdr:colOff>92075</xdr:colOff>
      <xdr:row>11</xdr:row>
      <xdr:rowOff>168275</xdr:rowOff>
    </xdr:to>
    <xdr:sp macro="" textlink="">
      <xdr:nvSpPr>
        <xdr:cNvPr id="145" name="Rectangle 144"/>
        <xdr:cNvSpPr/>
      </xdr:nvSpPr>
      <xdr:spPr>
        <a:xfrm>
          <a:off x="27844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2876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3009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48" name="Rectangle 147"/>
        <xdr:cNvSpPr/>
      </xdr:nvSpPr>
      <xdr:spPr>
        <a:xfrm>
          <a:off x="3051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3143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50" name="Rectangle 149"/>
        <xdr:cNvSpPr/>
      </xdr:nvSpPr>
      <xdr:spPr>
        <a:xfrm>
          <a:off x="3184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3276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41275</xdr:colOff>
      <xdr:row>11</xdr:row>
      <xdr:rowOff>41275</xdr:rowOff>
    </xdr:from>
    <xdr:to>
      <xdr:col>16</xdr:col>
      <xdr:colOff>92075</xdr:colOff>
      <xdr:row>11</xdr:row>
      <xdr:rowOff>168275</xdr:rowOff>
    </xdr:to>
    <xdr:sp macro="" textlink="">
      <xdr:nvSpPr>
        <xdr:cNvPr id="152" name="Rectangle 151"/>
        <xdr:cNvSpPr/>
      </xdr:nvSpPr>
      <xdr:spPr>
        <a:xfrm>
          <a:off x="3317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53" name="Rectangle 152"/>
        <xdr:cNvSpPr/>
      </xdr:nvSpPr>
      <xdr:spPr>
        <a:xfrm>
          <a:off x="3409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11</xdr:row>
      <xdr:rowOff>41275</xdr:rowOff>
    </xdr:from>
    <xdr:to>
      <xdr:col>17</xdr:col>
      <xdr:colOff>92075</xdr:colOff>
      <xdr:row>11</xdr:row>
      <xdr:rowOff>168275</xdr:rowOff>
    </xdr:to>
    <xdr:sp macro="" textlink="">
      <xdr:nvSpPr>
        <xdr:cNvPr id="154" name="Rectangle 153"/>
        <xdr:cNvSpPr/>
      </xdr:nvSpPr>
      <xdr:spPr>
        <a:xfrm>
          <a:off x="34512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55" name="Rectangle 154"/>
        <xdr:cNvSpPr/>
      </xdr:nvSpPr>
      <xdr:spPr>
        <a:xfrm>
          <a:off x="3543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11</xdr:row>
      <xdr:rowOff>41275</xdr:rowOff>
    </xdr:from>
    <xdr:to>
      <xdr:col>18</xdr:col>
      <xdr:colOff>92075</xdr:colOff>
      <xdr:row>11</xdr:row>
      <xdr:rowOff>168275</xdr:rowOff>
    </xdr:to>
    <xdr:sp macro="" textlink="">
      <xdr:nvSpPr>
        <xdr:cNvPr id="156" name="Rectangle 155"/>
        <xdr:cNvSpPr/>
      </xdr:nvSpPr>
      <xdr:spPr>
        <a:xfrm>
          <a:off x="35845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57" name="Rectangle 156"/>
        <xdr:cNvSpPr/>
      </xdr:nvSpPr>
      <xdr:spPr>
        <a:xfrm>
          <a:off x="3676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58" name="Rectangle 157"/>
        <xdr:cNvSpPr/>
      </xdr:nvSpPr>
      <xdr:spPr>
        <a:xfrm>
          <a:off x="37179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59" name="Rectangle 158"/>
        <xdr:cNvSpPr/>
      </xdr:nvSpPr>
      <xdr:spPr>
        <a:xfrm>
          <a:off x="3810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60" name="Rectangle 159"/>
        <xdr:cNvSpPr/>
      </xdr:nvSpPr>
      <xdr:spPr>
        <a:xfrm>
          <a:off x="38512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61" name="Rectangle 160"/>
        <xdr:cNvSpPr/>
      </xdr:nvSpPr>
      <xdr:spPr>
        <a:xfrm>
          <a:off x="3943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62" name="Rectangle 161"/>
        <xdr:cNvSpPr/>
      </xdr:nvSpPr>
      <xdr:spPr>
        <a:xfrm>
          <a:off x="4343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63" name="Rectangle 162"/>
        <xdr:cNvSpPr/>
      </xdr:nvSpPr>
      <xdr:spPr>
        <a:xfrm>
          <a:off x="5410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64" name="Rectangle 163"/>
        <xdr:cNvSpPr/>
      </xdr:nvSpPr>
      <xdr:spPr>
        <a:xfrm>
          <a:off x="5543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11</xdr:row>
      <xdr:rowOff>41275</xdr:rowOff>
    </xdr:from>
    <xdr:to>
      <xdr:col>33</xdr:col>
      <xdr:colOff>92075</xdr:colOff>
      <xdr:row>11</xdr:row>
      <xdr:rowOff>168275</xdr:rowOff>
    </xdr:to>
    <xdr:sp macro="" textlink="">
      <xdr:nvSpPr>
        <xdr:cNvPr id="165" name="Rectangle 164"/>
        <xdr:cNvSpPr/>
      </xdr:nvSpPr>
      <xdr:spPr>
        <a:xfrm>
          <a:off x="55848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66" name="Rectangle 165"/>
        <xdr:cNvSpPr/>
      </xdr:nvSpPr>
      <xdr:spPr>
        <a:xfrm>
          <a:off x="5676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11</xdr:row>
      <xdr:rowOff>41275</xdr:rowOff>
    </xdr:from>
    <xdr:to>
      <xdr:col>34</xdr:col>
      <xdr:colOff>92075</xdr:colOff>
      <xdr:row>11</xdr:row>
      <xdr:rowOff>168275</xdr:rowOff>
    </xdr:to>
    <xdr:sp macro="" textlink="">
      <xdr:nvSpPr>
        <xdr:cNvPr id="167" name="Rectangle 166"/>
        <xdr:cNvSpPr/>
      </xdr:nvSpPr>
      <xdr:spPr>
        <a:xfrm>
          <a:off x="5718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68" name="Rectangle 167"/>
        <xdr:cNvSpPr/>
      </xdr:nvSpPr>
      <xdr:spPr>
        <a:xfrm>
          <a:off x="5810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41275</xdr:colOff>
      <xdr:row>11</xdr:row>
      <xdr:rowOff>41275</xdr:rowOff>
    </xdr:from>
    <xdr:to>
      <xdr:col>35</xdr:col>
      <xdr:colOff>92075</xdr:colOff>
      <xdr:row>11</xdr:row>
      <xdr:rowOff>168275</xdr:rowOff>
    </xdr:to>
    <xdr:sp macro="" textlink="">
      <xdr:nvSpPr>
        <xdr:cNvPr id="169" name="Rectangle 168"/>
        <xdr:cNvSpPr/>
      </xdr:nvSpPr>
      <xdr:spPr>
        <a:xfrm>
          <a:off x="5851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70" name="Rectangle 169"/>
        <xdr:cNvSpPr/>
      </xdr:nvSpPr>
      <xdr:spPr>
        <a:xfrm>
          <a:off x="5943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11</xdr:row>
      <xdr:rowOff>41275</xdr:rowOff>
    </xdr:from>
    <xdr:to>
      <xdr:col>36</xdr:col>
      <xdr:colOff>92075</xdr:colOff>
      <xdr:row>11</xdr:row>
      <xdr:rowOff>168275</xdr:rowOff>
    </xdr:to>
    <xdr:sp macro="" textlink="">
      <xdr:nvSpPr>
        <xdr:cNvPr id="171" name="Rectangle 170"/>
        <xdr:cNvSpPr/>
      </xdr:nvSpPr>
      <xdr:spPr>
        <a:xfrm>
          <a:off x="5984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72" name="Rectangle 171"/>
        <xdr:cNvSpPr/>
      </xdr:nvSpPr>
      <xdr:spPr>
        <a:xfrm>
          <a:off x="6076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73" name="Rectangle 172"/>
        <xdr:cNvSpPr/>
      </xdr:nvSpPr>
      <xdr:spPr>
        <a:xfrm>
          <a:off x="6210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74" name="Rectangle 173"/>
        <xdr:cNvSpPr/>
      </xdr:nvSpPr>
      <xdr:spPr>
        <a:xfrm>
          <a:off x="6343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0</xdr:colOff>
      <xdr:row>11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75" name="Rectangle 174"/>
        <xdr:cNvSpPr/>
      </xdr:nvSpPr>
      <xdr:spPr>
        <a:xfrm>
          <a:off x="6477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76" name="Rectangle 175"/>
        <xdr:cNvSpPr/>
      </xdr:nvSpPr>
      <xdr:spPr>
        <a:xfrm>
          <a:off x="6610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43</xdr:col>
      <xdr:colOff>0</xdr:colOff>
      <xdr:row>12</xdr:row>
      <xdr:rowOff>0</xdr:rowOff>
    </xdr:to>
    <xdr:sp macro="" textlink="">
      <xdr:nvSpPr>
        <xdr:cNvPr id="177" name="Rectangle 176"/>
        <xdr:cNvSpPr/>
      </xdr:nvSpPr>
      <xdr:spPr>
        <a:xfrm>
          <a:off x="67437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8" name="Rectangle 177"/>
        <xdr:cNvSpPr/>
      </xdr:nvSpPr>
      <xdr:spPr>
        <a:xfrm>
          <a:off x="68770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0</xdr:colOff>
      <xdr:row>11</xdr:row>
      <xdr:rowOff>0</xdr:rowOff>
    </xdr:from>
    <xdr:to>
      <xdr:col>45</xdr:col>
      <xdr:colOff>0</xdr:colOff>
      <xdr:row>12</xdr:row>
      <xdr:rowOff>0</xdr:rowOff>
    </xdr:to>
    <xdr:sp macro="" textlink="">
      <xdr:nvSpPr>
        <xdr:cNvPr id="179" name="Rectangle 178"/>
        <xdr:cNvSpPr/>
      </xdr:nvSpPr>
      <xdr:spPr>
        <a:xfrm>
          <a:off x="7010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47</xdr:col>
      <xdr:colOff>0</xdr:colOff>
      <xdr:row>11</xdr:row>
      <xdr:rowOff>0</xdr:rowOff>
    </xdr:from>
    <xdr:to>
      <xdr:col>48</xdr:col>
      <xdr:colOff>0</xdr:colOff>
      <xdr:row>12</xdr:row>
      <xdr:rowOff>0</xdr:rowOff>
    </xdr:to>
    <xdr:sp macro="" textlink="">
      <xdr:nvSpPr>
        <xdr:cNvPr id="180" name="Rectangle 179"/>
        <xdr:cNvSpPr/>
      </xdr:nvSpPr>
      <xdr:spPr>
        <a:xfrm>
          <a:off x="7410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81" name="Rectangle 180"/>
        <xdr:cNvSpPr/>
      </xdr:nvSpPr>
      <xdr:spPr>
        <a:xfrm>
          <a:off x="23431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82" name="Rectangle 181"/>
        <xdr:cNvSpPr/>
      </xdr:nvSpPr>
      <xdr:spPr>
        <a:xfrm>
          <a:off x="23590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83" name="Rectangle 182"/>
        <xdr:cNvSpPr/>
      </xdr:nvSpPr>
      <xdr:spPr>
        <a:xfrm>
          <a:off x="24765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15</xdr:row>
      <xdr:rowOff>41275</xdr:rowOff>
    </xdr:from>
    <xdr:to>
      <xdr:col>10</xdr:col>
      <xdr:colOff>117475</xdr:colOff>
      <xdr:row>15</xdr:row>
      <xdr:rowOff>168275</xdr:rowOff>
    </xdr:to>
    <xdr:sp macro="" textlink="">
      <xdr:nvSpPr>
        <xdr:cNvPr id="184" name="Rectangle 183"/>
        <xdr:cNvSpPr/>
      </xdr:nvSpPr>
      <xdr:spPr>
        <a:xfrm>
          <a:off x="24923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85" name="Rectangle 184"/>
        <xdr:cNvSpPr/>
      </xdr:nvSpPr>
      <xdr:spPr>
        <a:xfrm>
          <a:off x="26098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86" name="Rectangle 185"/>
        <xdr:cNvSpPr/>
      </xdr:nvSpPr>
      <xdr:spPr>
        <a:xfrm>
          <a:off x="26257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11</xdr:col>
      <xdr:colOff>114300</xdr:colOff>
      <xdr:row>15</xdr:row>
      <xdr:rowOff>0</xdr:rowOff>
    </xdr:from>
    <xdr:to>
      <xdr:col>12</xdr:col>
      <xdr:colOff>114300</xdr:colOff>
      <xdr:row>16</xdr:row>
      <xdr:rowOff>0</xdr:rowOff>
    </xdr:to>
    <xdr:sp macro="" textlink="">
      <xdr:nvSpPr>
        <xdr:cNvPr id="187" name="Rectangle 186"/>
        <xdr:cNvSpPr/>
      </xdr:nvSpPr>
      <xdr:spPr>
        <a:xfrm>
          <a:off x="3076575" y="34671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15</xdr:row>
      <xdr:rowOff>41275</xdr:rowOff>
    </xdr:from>
    <xdr:to>
      <xdr:col>12</xdr:col>
      <xdr:colOff>117475</xdr:colOff>
      <xdr:row>15</xdr:row>
      <xdr:rowOff>168275</xdr:rowOff>
    </xdr:to>
    <xdr:sp macro="" textlink="">
      <xdr:nvSpPr>
        <xdr:cNvPr id="188" name="Rectangle 187"/>
        <xdr:cNvSpPr/>
      </xdr:nvSpPr>
      <xdr:spPr>
        <a:xfrm>
          <a:off x="2759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89" name="Rectangle 188"/>
        <xdr:cNvSpPr/>
      </xdr:nvSpPr>
      <xdr:spPr>
        <a:xfrm>
          <a:off x="3009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15</xdr:row>
      <xdr:rowOff>41275</xdr:rowOff>
    </xdr:from>
    <xdr:to>
      <xdr:col>14</xdr:col>
      <xdr:colOff>117475</xdr:colOff>
      <xdr:row>15</xdr:row>
      <xdr:rowOff>168275</xdr:rowOff>
    </xdr:to>
    <xdr:sp macro="" textlink="">
      <xdr:nvSpPr>
        <xdr:cNvPr id="190" name="Rectangle 189"/>
        <xdr:cNvSpPr/>
      </xdr:nvSpPr>
      <xdr:spPr>
        <a:xfrm>
          <a:off x="30257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191" name="Rectangle 190"/>
        <xdr:cNvSpPr/>
      </xdr:nvSpPr>
      <xdr:spPr>
        <a:xfrm>
          <a:off x="3143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15</xdr:row>
      <xdr:rowOff>41275</xdr:rowOff>
    </xdr:from>
    <xdr:to>
      <xdr:col>15</xdr:col>
      <xdr:colOff>117475</xdr:colOff>
      <xdr:row>15</xdr:row>
      <xdr:rowOff>168275</xdr:rowOff>
    </xdr:to>
    <xdr:sp macro="" textlink="">
      <xdr:nvSpPr>
        <xdr:cNvPr id="192" name="Rectangle 191"/>
        <xdr:cNvSpPr/>
      </xdr:nvSpPr>
      <xdr:spPr>
        <a:xfrm>
          <a:off x="3159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93" name="Rectangle 192"/>
        <xdr:cNvSpPr/>
      </xdr:nvSpPr>
      <xdr:spPr>
        <a:xfrm>
          <a:off x="3276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15</xdr:row>
      <xdr:rowOff>41275</xdr:rowOff>
    </xdr:from>
    <xdr:to>
      <xdr:col>16</xdr:col>
      <xdr:colOff>117475</xdr:colOff>
      <xdr:row>15</xdr:row>
      <xdr:rowOff>168275</xdr:rowOff>
    </xdr:to>
    <xdr:sp macro="" textlink="">
      <xdr:nvSpPr>
        <xdr:cNvPr id="194" name="Rectangle 193"/>
        <xdr:cNvSpPr/>
      </xdr:nvSpPr>
      <xdr:spPr>
        <a:xfrm>
          <a:off x="32924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95" name="Rectangle 194"/>
        <xdr:cNvSpPr/>
      </xdr:nvSpPr>
      <xdr:spPr>
        <a:xfrm>
          <a:off x="3409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15</xdr:row>
      <xdr:rowOff>41275</xdr:rowOff>
    </xdr:from>
    <xdr:to>
      <xdr:col>17</xdr:col>
      <xdr:colOff>92075</xdr:colOff>
      <xdr:row>15</xdr:row>
      <xdr:rowOff>168275</xdr:rowOff>
    </xdr:to>
    <xdr:sp macro="" textlink="">
      <xdr:nvSpPr>
        <xdr:cNvPr id="196" name="Rectangle 195"/>
        <xdr:cNvSpPr/>
      </xdr:nvSpPr>
      <xdr:spPr>
        <a:xfrm>
          <a:off x="3451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19</xdr:col>
      <xdr:colOff>0</xdr:colOff>
      <xdr:row>16</xdr:row>
      <xdr:rowOff>0</xdr:rowOff>
    </xdr:to>
    <xdr:sp macro="" textlink="">
      <xdr:nvSpPr>
        <xdr:cNvPr id="197" name="Rectangle 196"/>
        <xdr:cNvSpPr/>
      </xdr:nvSpPr>
      <xdr:spPr>
        <a:xfrm>
          <a:off x="3543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15</xdr:row>
      <xdr:rowOff>41275</xdr:rowOff>
    </xdr:from>
    <xdr:to>
      <xdr:col>18</xdr:col>
      <xdr:colOff>117475</xdr:colOff>
      <xdr:row>15</xdr:row>
      <xdr:rowOff>168275</xdr:rowOff>
    </xdr:to>
    <xdr:sp macro="" textlink="">
      <xdr:nvSpPr>
        <xdr:cNvPr id="198" name="Rectangle 197"/>
        <xdr:cNvSpPr/>
      </xdr:nvSpPr>
      <xdr:spPr>
        <a:xfrm>
          <a:off x="35591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199" name="Rectangle 198"/>
        <xdr:cNvSpPr/>
      </xdr:nvSpPr>
      <xdr:spPr>
        <a:xfrm>
          <a:off x="3676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15</xdr:row>
      <xdr:rowOff>41275</xdr:rowOff>
    </xdr:from>
    <xdr:to>
      <xdr:col>19</xdr:col>
      <xdr:colOff>117475</xdr:colOff>
      <xdr:row>15</xdr:row>
      <xdr:rowOff>168275</xdr:rowOff>
    </xdr:to>
    <xdr:sp macro="" textlink="">
      <xdr:nvSpPr>
        <xdr:cNvPr id="200" name="Rectangle 199"/>
        <xdr:cNvSpPr/>
      </xdr:nvSpPr>
      <xdr:spPr>
        <a:xfrm>
          <a:off x="36925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31</a:t>
          </a: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201" name="Rectangle 200"/>
        <xdr:cNvSpPr/>
      </xdr:nvSpPr>
      <xdr:spPr>
        <a:xfrm>
          <a:off x="3810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15</xdr:row>
      <xdr:rowOff>41275</xdr:rowOff>
    </xdr:from>
    <xdr:to>
      <xdr:col>20</xdr:col>
      <xdr:colOff>117475</xdr:colOff>
      <xdr:row>15</xdr:row>
      <xdr:rowOff>168275</xdr:rowOff>
    </xdr:to>
    <xdr:sp macro="" textlink="">
      <xdr:nvSpPr>
        <xdr:cNvPr id="202" name="Rectangle 201"/>
        <xdr:cNvSpPr/>
      </xdr:nvSpPr>
      <xdr:spPr>
        <a:xfrm>
          <a:off x="3825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32</xdr:col>
      <xdr:colOff>0</xdr:colOff>
      <xdr:row>15</xdr:row>
      <xdr:rowOff>0</xdr:rowOff>
    </xdr:from>
    <xdr:to>
      <xdr:col>33</xdr:col>
      <xdr:colOff>0</xdr:colOff>
      <xdr:row>16</xdr:row>
      <xdr:rowOff>0</xdr:rowOff>
    </xdr:to>
    <xdr:sp macro="" textlink="">
      <xdr:nvSpPr>
        <xdr:cNvPr id="203" name="Rectangle 202"/>
        <xdr:cNvSpPr/>
      </xdr:nvSpPr>
      <xdr:spPr>
        <a:xfrm>
          <a:off x="54102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15875</xdr:colOff>
      <xdr:row>15</xdr:row>
      <xdr:rowOff>41275</xdr:rowOff>
    </xdr:from>
    <xdr:to>
      <xdr:col>32</xdr:col>
      <xdr:colOff>117475</xdr:colOff>
      <xdr:row>15</xdr:row>
      <xdr:rowOff>168275</xdr:rowOff>
    </xdr:to>
    <xdr:sp macro="" textlink="">
      <xdr:nvSpPr>
        <xdr:cNvPr id="204" name="Rectangle 203"/>
        <xdr:cNvSpPr/>
      </xdr:nvSpPr>
      <xdr:spPr>
        <a:xfrm>
          <a:off x="5426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205" name="Rectangle 204"/>
        <xdr:cNvSpPr/>
      </xdr:nvSpPr>
      <xdr:spPr>
        <a:xfrm>
          <a:off x="55435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206" name="Rectangle 205"/>
        <xdr:cNvSpPr/>
      </xdr:nvSpPr>
      <xdr:spPr>
        <a:xfrm>
          <a:off x="55848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207" name="Rectangle 206"/>
        <xdr:cNvSpPr/>
      </xdr:nvSpPr>
      <xdr:spPr>
        <a:xfrm>
          <a:off x="5676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208" name="Rectangle 207"/>
        <xdr:cNvSpPr/>
      </xdr:nvSpPr>
      <xdr:spPr>
        <a:xfrm>
          <a:off x="57181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209" name="Rectangle 208"/>
        <xdr:cNvSpPr/>
      </xdr:nvSpPr>
      <xdr:spPr>
        <a:xfrm>
          <a:off x="5810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15</xdr:row>
      <xdr:rowOff>41275</xdr:rowOff>
    </xdr:from>
    <xdr:to>
      <xdr:col>35</xdr:col>
      <xdr:colOff>117475</xdr:colOff>
      <xdr:row>15</xdr:row>
      <xdr:rowOff>168275</xdr:rowOff>
    </xdr:to>
    <xdr:sp macro="" textlink="">
      <xdr:nvSpPr>
        <xdr:cNvPr id="210" name="Rectangle 209"/>
        <xdr:cNvSpPr/>
      </xdr:nvSpPr>
      <xdr:spPr>
        <a:xfrm>
          <a:off x="5826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211" name="Rectangle 210"/>
        <xdr:cNvSpPr/>
      </xdr:nvSpPr>
      <xdr:spPr>
        <a:xfrm>
          <a:off x="5943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212" name="Rectangle 211"/>
        <xdr:cNvSpPr/>
      </xdr:nvSpPr>
      <xdr:spPr>
        <a:xfrm>
          <a:off x="59848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213" name="Rectangle 212"/>
        <xdr:cNvSpPr/>
      </xdr:nvSpPr>
      <xdr:spPr>
        <a:xfrm>
          <a:off x="6076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214" name="Rectangle 213"/>
        <xdr:cNvSpPr/>
      </xdr:nvSpPr>
      <xdr:spPr>
        <a:xfrm>
          <a:off x="6118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15" name="Rectangle 214"/>
        <xdr:cNvSpPr/>
      </xdr:nvSpPr>
      <xdr:spPr>
        <a:xfrm>
          <a:off x="6210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216" name="Rectangle 215"/>
        <xdr:cNvSpPr/>
      </xdr:nvSpPr>
      <xdr:spPr>
        <a:xfrm>
          <a:off x="62515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15</xdr:row>
      <xdr:rowOff>0</xdr:rowOff>
    </xdr:from>
    <xdr:to>
      <xdr:col>40</xdr:col>
      <xdr:colOff>0</xdr:colOff>
      <xdr:row>16</xdr:row>
      <xdr:rowOff>0</xdr:rowOff>
    </xdr:to>
    <xdr:sp macro="" textlink="">
      <xdr:nvSpPr>
        <xdr:cNvPr id="217" name="Rectangle 216"/>
        <xdr:cNvSpPr/>
      </xdr:nvSpPr>
      <xdr:spPr>
        <a:xfrm>
          <a:off x="6343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41275</xdr:colOff>
      <xdr:row>15</xdr:row>
      <xdr:rowOff>41275</xdr:rowOff>
    </xdr:from>
    <xdr:to>
      <xdr:col>39</xdr:col>
      <xdr:colOff>92075</xdr:colOff>
      <xdr:row>15</xdr:row>
      <xdr:rowOff>168275</xdr:rowOff>
    </xdr:to>
    <xdr:sp macro="" textlink="">
      <xdr:nvSpPr>
        <xdr:cNvPr id="218" name="Rectangle 217"/>
        <xdr:cNvSpPr/>
      </xdr:nvSpPr>
      <xdr:spPr>
        <a:xfrm>
          <a:off x="63849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41</xdr:col>
      <xdr:colOff>0</xdr:colOff>
      <xdr:row>16</xdr:row>
      <xdr:rowOff>0</xdr:rowOff>
    </xdr:to>
    <xdr:sp macro="" textlink="">
      <xdr:nvSpPr>
        <xdr:cNvPr id="219" name="Rectangle 218"/>
        <xdr:cNvSpPr/>
      </xdr:nvSpPr>
      <xdr:spPr>
        <a:xfrm>
          <a:off x="6477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15875</xdr:colOff>
      <xdr:row>15</xdr:row>
      <xdr:rowOff>41275</xdr:rowOff>
    </xdr:from>
    <xdr:to>
      <xdr:col>40</xdr:col>
      <xdr:colOff>117475</xdr:colOff>
      <xdr:row>15</xdr:row>
      <xdr:rowOff>168275</xdr:rowOff>
    </xdr:to>
    <xdr:sp macro="" textlink="">
      <xdr:nvSpPr>
        <xdr:cNvPr id="220" name="Rectangle 219"/>
        <xdr:cNvSpPr/>
      </xdr:nvSpPr>
      <xdr:spPr>
        <a:xfrm>
          <a:off x="6492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41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221" name="Rectangle 220"/>
        <xdr:cNvSpPr/>
      </xdr:nvSpPr>
      <xdr:spPr>
        <a:xfrm>
          <a:off x="66103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41275</xdr:colOff>
      <xdr:row>15</xdr:row>
      <xdr:rowOff>41275</xdr:rowOff>
    </xdr:from>
    <xdr:to>
      <xdr:col>41</xdr:col>
      <xdr:colOff>92075</xdr:colOff>
      <xdr:row>15</xdr:row>
      <xdr:rowOff>168275</xdr:rowOff>
    </xdr:to>
    <xdr:sp macro="" textlink="">
      <xdr:nvSpPr>
        <xdr:cNvPr id="222" name="Rectangle 221"/>
        <xdr:cNvSpPr/>
      </xdr:nvSpPr>
      <xdr:spPr>
        <a:xfrm>
          <a:off x="66516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12</xdr:col>
      <xdr:colOff>0</xdr:colOff>
      <xdr:row>32</xdr:row>
      <xdr:rowOff>1</xdr:rowOff>
    </xdr:from>
    <xdr:to>
      <xdr:col>20</xdr:col>
      <xdr:colOff>0</xdr:colOff>
      <xdr:row>32</xdr:row>
      <xdr:rowOff>152401</xdr:rowOff>
    </xdr:to>
    <xdr:sp macro="" textlink="">
      <xdr:nvSpPr>
        <xdr:cNvPr id="251" name="Rectangle 250"/>
        <xdr:cNvSpPr/>
      </xdr:nvSpPr>
      <xdr:spPr>
        <a:xfrm>
          <a:off x="2847975" y="5305426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44</xdr:col>
      <xdr:colOff>0</xdr:colOff>
      <xdr:row>32</xdr:row>
      <xdr:rowOff>0</xdr:rowOff>
    </xdr:from>
    <xdr:to>
      <xdr:col>52</xdr:col>
      <xdr:colOff>9525</xdr:colOff>
      <xdr:row>33</xdr:row>
      <xdr:rowOff>9525</xdr:rowOff>
    </xdr:to>
    <xdr:sp macro="" textlink="">
      <xdr:nvSpPr>
        <xdr:cNvPr id="254" name="Rectangle 253"/>
        <xdr:cNvSpPr/>
      </xdr:nvSpPr>
      <xdr:spPr>
        <a:xfrm>
          <a:off x="7419975" y="5629275"/>
          <a:ext cx="11525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4954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15875</xdr:colOff>
      <xdr:row>3</xdr:row>
      <xdr:rowOff>41275</xdr:rowOff>
    </xdr:from>
    <xdr:to>
      <xdr:col>3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5113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6287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15875</xdr:colOff>
      <xdr:row>3</xdr:row>
      <xdr:rowOff>41275</xdr:rowOff>
    </xdr:from>
    <xdr:to>
      <xdr:col>4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6446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17621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3</xdr:row>
      <xdr:rowOff>41275</xdr:rowOff>
    </xdr:from>
    <xdr:to>
      <xdr:col>6</xdr:col>
      <xdr:colOff>9525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175260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105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18954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123825</xdr:colOff>
      <xdr:row>3</xdr:row>
      <xdr:rowOff>41275</xdr:rowOff>
    </xdr:from>
    <xdr:to>
      <xdr:col>7</xdr:col>
      <xdr:colOff>9525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188595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101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0288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0447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1621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3</xdr:row>
      <xdr:rowOff>41275</xdr:rowOff>
    </xdr:from>
    <xdr:to>
      <xdr:col>8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1780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79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2955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3114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4288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3</xdr:row>
      <xdr:rowOff>41275</xdr:rowOff>
    </xdr:from>
    <xdr:to>
      <xdr:col>10</xdr:col>
      <xdr:colOff>92075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470150" y="7842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5622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5781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26955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27114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2828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3</xdr:row>
      <xdr:rowOff>41275</xdr:rowOff>
    </xdr:from>
    <xdr:to>
      <xdr:col>13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2844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63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2962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2978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095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111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228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244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362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3495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3</xdr:row>
      <xdr:rowOff>41275</xdr:rowOff>
    </xdr:from>
    <xdr:to>
      <xdr:col>18</xdr:col>
      <xdr:colOff>117475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3511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3" name="Rectangle 32"/>
        <xdr:cNvSpPr/>
      </xdr:nvSpPr>
      <xdr:spPr>
        <a:xfrm>
          <a:off x="36290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4" name="Rectangle 33"/>
        <xdr:cNvSpPr/>
      </xdr:nvSpPr>
      <xdr:spPr>
        <a:xfrm>
          <a:off x="36449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5" name="Rectangle 34"/>
        <xdr:cNvSpPr/>
      </xdr:nvSpPr>
      <xdr:spPr>
        <a:xfrm>
          <a:off x="37623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3</xdr:row>
      <xdr:rowOff>41275</xdr:rowOff>
    </xdr:from>
    <xdr:to>
      <xdr:col>20</xdr:col>
      <xdr:colOff>117475</xdr:colOff>
      <xdr:row>3</xdr:row>
      <xdr:rowOff>168275</xdr:rowOff>
    </xdr:to>
    <xdr:sp macro="" textlink="">
      <xdr:nvSpPr>
        <xdr:cNvPr id="36" name="Rectangle 35"/>
        <xdr:cNvSpPr/>
      </xdr:nvSpPr>
      <xdr:spPr>
        <a:xfrm>
          <a:off x="37782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37" name="Rectangle 36"/>
        <xdr:cNvSpPr/>
      </xdr:nvSpPr>
      <xdr:spPr>
        <a:xfrm>
          <a:off x="38957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3</xdr:row>
      <xdr:rowOff>41275</xdr:rowOff>
    </xdr:from>
    <xdr:to>
      <xdr:col>21</xdr:col>
      <xdr:colOff>117475</xdr:colOff>
      <xdr:row>3</xdr:row>
      <xdr:rowOff>168275</xdr:rowOff>
    </xdr:to>
    <xdr:sp macro="" textlink="">
      <xdr:nvSpPr>
        <xdr:cNvPr id="38" name="Rectangle 37"/>
        <xdr:cNvSpPr/>
      </xdr:nvSpPr>
      <xdr:spPr>
        <a:xfrm>
          <a:off x="39116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39" name="Rectangle 38"/>
        <xdr:cNvSpPr/>
      </xdr:nvSpPr>
      <xdr:spPr>
        <a:xfrm>
          <a:off x="40290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3</xdr:row>
      <xdr:rowOff>41275</xdr:rowOff>
    </xdr:from>
    <xdr:to>
      <xdr:col>22</xdr:col>
      <xdr:colOff>117475</xdr:colOff>
      <xdr:row>3</xdr:row>
      <xdr:rowOff>168275</xdr:rowOff>
    </xdr:to>
    <xdr:sp macro="" textlink="">
      <xdr:nvSpPr>
        <xdr:cNvPr id="40" name="Rectangle 39"/>
        <xdr:cNvSpPr/>
      </xdr:nvSpPr>
      <xdr:spPr>
        <a:xfrm>
          <a:off x="40449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85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41" name="Rectangle 40"/>
        <xdr:cNvSpPr/>
      </xdr:nvSpPr>
      <xdr:spPr>
        <a:xfrm>
          <a:off x="5495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42" name="Rectangle 41"/>
        <xdr:cNvSpPr/>
      </xdr:nvSpPr>
      <xdr:spPr>
        <a:xfrm>
          <a:off x="5511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43" name="Rectangle 42"/>
        <xdr:cNvSpPr/>
      </xdr:nvSpPr>
      <xdr:spPr>
        <a:xfrm>
          <a:off x="5629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44" name="Rectangle 43"/>
        <xdr:cNvSpPr/>
      </xdr:nvSpPr>
      <xdr:spPr>
        <a:xfrm>
          <a:off x="5645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5" name="Rectangle 44"/>
        <xdr:cNvSpPr/>
      </xdr:nvSpPr>
      <xdr:spPr>
        <a:xfrm>
          <a:off x="5762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6" name="Rectangle 45"/>
        <xdr:cNvSpPr/>
      </xdr:nvSpPr>
      <xdr:spPr>
        <a:xfrm>
          <a:off x="5778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61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7" name="Rectangle 46"/>
        <xdr:cNvSpPr/>
      </xdr:nvSpPr>
      <xdr:spPr>
        <a:xfrm>
          <a:off x="5895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8" name="Rectangle 47"/>
        <xdr:cNvSpPr/>
      </xdr:nvSpPr>
      <xdr:spPr>
        <a:xfrm>
          <a:off x="5911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9" name="Rectangle 48"/>
        <xdr:cNvSpPr/>
      </xdr:nvSpPr>
      <xdr:spPr>
        <a:xfrm>
          <a:off x="6029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50" name="Rectangle 49"/>
        <xdr:cNvSpPr/>
      </xdr:nvSpPr>
      <xdr:spPr>
        <a:xfrm>
          <a:off x="60452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51" name="Rectangle 50"/>
        <xdr:cNvSpPr/>
      </xdr:nvSpPr>
      <xdr:spPr>
        <a:xfrm>
          <a:off x="6162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52" name="Rectangle 51"/>
        <xdr:cNvSpPr/>
      </xdr:nvSpPr>
      <xdr:spPr>
        <a:xfrm>
          <a:off x="6178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53" name="Rectangle 52"/>
        <xdr:cNvSpPr/>
      </xdr:nvSpPr>
      <xdr:spPr>
        <a:xfrm>
          <a:off x="12287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41275</xdr:colOff>
      <xdr:row>19</xdr:row>
      <xdr:rowOff>41275</xdr:rowOff>
    </xdr:from>
    <xdr:to>
      <xdr:col>1</xdr:col>
      <xdr:colOff>92075</xdr:colOff>
      <xdr:row>19</xdr:row>
      <xdr:rowOff>168275</xdr:rowOff>
    </xdr:to>
    <xdr:sp macro="" textlink="">
      <xdr:nvSpPr>
        <xdr:cNvPr id="54" name="Rectangle 53"/>
        <xdr:cNvSpPr/>
      </xdr:nvSpPr>
      <xdr:spPr>
        <a:xfrm>
          <a:off x="12700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5" name="Rectangle 54"/>
        <xdr:cNvSpPr/>
      </xdr:nvSpPr>
      <xdr:spPr>
        <a:xfrm>
          <a:off x="18954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41275</xdr:colOff>
      <xdr:row>19</xdr:row>
      <xdr:rowOff>41275</xdr:rowOff>
    </xdr:from>
    <xdr:to>
      <xdr:col>6</xdr:col>
      <xdr:colOff>92075</xdr:colOff>
      <xdr:row>19</xdr:row>
      <xdr:rowOff>168275</xdr:rowOff>
    </xdr:to>
    <xdr:sp macro="" textlink="">
      <xdr:nvSpPr>
        <xdr:cNvPr id="56" name="Rectangle 55"/>
        <xdr:cNvSpPr/>
      </xdr:nvSpPr>
      <xdr:spPr>
        <a:xfrm>
          <a:off x="19367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7" name="Rectangle 56"/>
        <xdr:cNvSpPr/>
      </xdr:nvSpPr>
      <xdr:spPr>
        <a:xfrm>
          <a:off x="24288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41275</xdr:colOff>
      <xdr:row>19</xdr:row>
      <xdr:rowOff>41275</xdr:rowOff>
    </xdr:from>
    <xdr:to>
      <xdr:col>10</xdr:col>
      <xdr:colOff>92075</xdr:colOff>
      <xdr:row>19</xdr:row>
      <xdr:rowOff>168275</xdr:rowOff>
    </xdr:to>
    <xdr:sp macro="" textlink="">
      <xdr:nvSpPr>
        <xdr:cNvPr id="58" name="Rectangle 57"/>
        <xdr:cNvSpPr/>
      </xdr:nvSpPr>
      <xdr:spPr>
        <a:xfrm>
          <a:off x="24701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59" name="Rectangle 58"/>
        <xdr:cNvSpPr/>
      </xdr:nvSpPr>
      <xdr:spPr>
        <a:xfrm>
          <a:off x="29622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19</xdr:row>
      <xdr:rowOff>41275</xdr:rowOff>
    </xdr:from>
    <xdr:to>
      <xdr:col>14</xdr:col>
      <xdr:colOff>92075</xdr:colOff>
      <xdr:row>19</xdr:row>
      <xdr:rowOff>168275</xdr:rowOff>
    </xdr:to>
    <xdr:sp macro="" textlink="">
      <xdr:nvSpPr>
        <xdr:cNvPr id="60" name="Rectangle 59"/>
        <xdr:cNvSpPr/>
      </xdr:nvSpPr>
      <xdr:spPr>
        <a:xfrm>
          <a:off x="30035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61" name="Rectangle 60"/>
        <xdr:cNvSpPr/>
      </xdr:nvSpPr>
      <xdr:spPr>
        <a:xfrm>
          <a:off x="34956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41275</xdr:colOff>
      <xdr:row>19</xdr:row>
      <xdr:rowOff>41275</xdr:rowOff>
    </xdr:from>
    <xdr:to>
      <xdr:col>18</xdr:col>
      <xdr:colOff>92075</xdr:colOff>
      <xdr:row>19</xdr:row>
      <xdr:rowOff>168275</xdr:rowOff>
    </xdr:to>
    <xdr:sp macro="" textlink="">
      <xdr:nvSpPr>
        <xdr:cNvPr id="62" name="Rectangle 61"/>
        <xdr:cNvSpPr/>
      </xdr:nvSpPr>
      <xdr:spPr>
        <a:xfrm>
          <a:off x="35369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63" name="Rectangle 62"/>
        <xdr:cNvSpPr/>
      </xdr:nvSpPr>
      <xdr:spPr>
        <a:xfrm>
          <a:off x="41624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41275</xdr:colOff>
      <xdr:row>19</xdr:row>
      <xdr:rowOff>41275</xdr:rowOff>
    </xdr:from>
    <xdr:to>
      <xdr:col>23</xdr:col>
      <xdr:colOff>92075</xdr:colOff>
      <xdr:row>19</xdr:row>
      <xdr:rowOff>168275</xdr:rowOff>
    </xdr:to>
    <xdr:sp macro="" textlink="">
      <xdr:nvSpPr>
        <xdr:cNvPr id="64" name="Rectangle 63"/>
        <xdr:cNvSpPr/>
      </xdr:nvSpPr>
      <xdr:spPr>
        <a:xfrm>
          <a:off x="42037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65" name="Rectangle 64"/>
        <xdr:cNvSpPr/>
      </xdr:nvSpPr>
      <xdr:spPr>
        <a:xfrm>
          <a:off x="46958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41275</xdr:colOff>
      <xdr:row>19</xdr:row>
      <xdr:rowOff>41275</xdr:rowOff>
    </xdr:from>
    <xdr:to>
      <xdr:col>27</xdr:col>
      <xdr:colOff>92075</xdr:colOff>
      <xdr:row>19</xdr:row>
      <xdr:rowOff>168275</xdr:rowOff>
    </xdr:to>
    <xdr:sp macro="" textlink="">
      <xdr:nvSpPr>
        <xdr:cNvPr id="66" name="Rectangle 65"/>
        <xdr:cNvSpPr/>
      </xdr:nvSpPr>
      <xdr:spPr>
        <a:xfrm>
          <a:off x="47371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67" name="Rectangle 66"/>
        <xdr:cNvSpPr/>
      </xdr:nvSpPr>
      <xdr:spPr>
        <a:xfrm>
          <a:off x="58959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19</xdr:row>
      <xdr:rowOff>41275</xdr:rowOff>
    </xdr:from>
    <xdr:to>
      <xdr:col>36</xdr:col>
      <xdr:colOff>92075</xdr:colOff>
      <xdr:row>19</xdr:row>
      <xdr:rowOff>168275</xdr:rowOff>
    </xdr:to>
    <xdr:sp macro="" textlink="">
      <xdr:nvSpPr>
        <xdr:cNvPr id="68" name="Rectangle 67"/>
        <xdr:cNvSpPr/>
      </xdr:nvSpPr>
      <xdr:spPr>
        <a:xfrm>
          <a:off x="59372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69" name="Rectangle 68"/>
        <xdr:cNvSpPr/>
      </xdr:nvSpPr>
      <xdr:spPr>
        <a:xfrm>
          <a:off x="64293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40</xdr:col>
      <xdr:colOff>41275</xdr:colOff>
      <xdr:row>19</xdr:row>
      <xdr:rowOff>41275</xdr:rowOff>
    </xdr:from>
    <xdr:to>
      <xdr:col>40</xdr:col>
      <xdr:colOff>92075</xdr:colOff>
      <xdr:row>19</xdr:row>
      <xdr:rowOff>168275</xdr:rowOff>
    </xdr:to>
    <xdr:sp macro="" textlink="">
      <xdr:nvSpPr>
        <xdr:cNvPr id="70" name="Rectangle 69"/>
        <xdr:cNvSpPr/>
      </xdr:nvSpPr>
      <xdr:spPr>
        <a:xfrm>
          <a:off x="64706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46</xdr:col>
      <xdr:colOff>0</xdr:colOff>
      <xdr:row>20</xdr:row>
      <xdr:rowOff>0</xdr:rowOff>
    </xdr:to>
    <xdr:sp macro="" textlink="">
      <xdr:nvSpPr>
        <xdr:cNvPr id="71" name="Rectangle 70"/>
        <xdr:cNvSpPr/>
      </xdr:nvSpPr>
      <xdr:spPr>
        <a:xfrm>
          <a:off x="70961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41275</xdr:colOff>
      <xdr:row>19</xdr:row>
      <xdr:rowOff>41275</xdr:rowOff>
    </xdr:from>
    <xdr:to>
      <xdr:col>45</xdr:col>
      <xdr:colOff>92075</xdr:colOff>
      <xdr:row>19</xdr:row>
      <xdr:rowOff>168275</xdr:rowOff>
    </xdr:to>
    <xdr:sp macro="" textlink="">
      <xdr:nvSpPr>
        <xdr:cNvPr id="72" name="Rectangle 71"/>
        <xdr:cNvSpPr/>
      </xdr:nvSpPr>
      <xdr:spPr>
        <a:xfrm>
          <a:off x="71374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14954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15367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5" name="Rectangle 74"/>
        <xdr:cNvSpPr/>
      </xdr:nvSpPr>
      <xdr:spPr>
        <a:xfrm>
          <a:off x="17621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76" name="Rectangle 75"/>
        <xdr:cNvSpPr/>
      </xdr:nvSpPr>
      <xdr:spPr>
        <a:xfrm>
          <a:off x="18034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7" name="Rectangle 76"/>
        <xdr:cNvSpPr/>
      </xdr:nvSpPr>
      <xdr:spPr>
        <a:xfrm>
          <a:off x="20288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78" name="Rectangle 77"/>
        <xdr:cNvSpPr/>
      </xdr:nvSpPr>
      <xdr:spPr>
        <a:xfrm>
          <a:off x="20447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79" name="Rectangle 78"/>
        <xdr:cNvSpPr/>
      </xdr:nvSpPr>
      <xdr:spPr>
        <a:xfrm>
          <a:off x="21621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80" name="Rectangle 79"/>
        <xdr:cNvSpPr/>
      </xdr:nvSpPr>
      <xdr:spPr>
        <a:xfrm>
          <a:off x="21780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1" name="Rectangle 80"/>
        <xdr:cNvSpPr/>
      </xdr:nvSpPr>
      <xdr:spPr>
        <a:xfrm>
          <a:off x="22955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2" name="Rectangle 81"/>
        <xdr:cNvSpPr/>
      </xdr:nvSpPr>
      <xdr:spPr>
        <a:xfrm>
          <a:off x="23114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3" name="Rectangle 82"/>
        <xdr:cNvSpPr/>
      </xdr:nvSpPr>
      <xdr:spPr>
        <a:xfrm>
          <a:off x="24288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4" name="Rectangle 83"/>
        <xdr:cNvSpPr/>
      </xdr:nvSpPr>
      <xdr:spPr>
        <a:xfrm>
          <a:off x="24447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5" name="Rectangle 84"/>
        <xdr:cNvSpPr/>
      </xdr:nvSpPr>
      <xdr:spPr>
        <a:xfrm>
          <a:off x="25622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6" name="Rectangle 85"/>
        <xdr:cNvSpPr/>
      </xdr:nvSpPr>
      <xdr:spPr>
        <a:xfrm>
          <a:off x="25781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87" name="Rectangle 86"/>
        <xdr:cNvSpPr/>
      </xdr:nvSpPr>
      <xdr:spPr>
        <a:xfrm>
          <a:off x="26955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88" name="Rectangle 87"/>
        <xdr:cNvSpPr/>
      </xdr:nvSpPr>
      <xdr:spPr>
        <a:xfrm>
          <a:off x="27114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89" name="Rectangle 88"/>
        <xdr:cNvSpPr/>
      </xdr:nvSpPr>
      <xdr:spPr>
        <a:xfrm>
          <a:off x="2828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90" name="Rectangle 89"/>
        <xdr:cNvSpPr/>
      </xdr:nvSpPr>
      <xdr:spPr>
        <a:xfrm>
          <a:off x="2844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1" name="Rectangle 90"/>
        <xdr:cNvSpPr/>
      </xdr:nvSpPr>
      <xdr:spPr>
        <a:xfrm>
          <a:off x="2962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25400</xdr:colOff>
      <xdr:row>7</xdr:row>
      <xdr:rowOff>41275</xdr:rowOff>
    </xdr:from>
    <xdr:to>
      <xdr:col>14</xdr:col>
      <xdr:colOff>127000</xdr:colOff>
      <xdr:row>7</xdr:row>
      <xdr:rowOff>168275</xdr:rowOff>
    </xdr:to>
    <xdr:sp macro="" textlink="">
      <xdr:nvSpPr>
        <xdr:cNvPr id="92" name="Rectangle 91"/>
        <xdr:cNvSpPr/>
      </xdr:nvSpPr>
      <xdr:spPr>
        <a:xfrm>
          <a:off x="2987675" y="20415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3" name="Rectangle 92"/>
        <xdr:cNvSpPr/>
      </xdr:nvSpPr>
      <xdr:spPr>
        <a:xfrm>
          <a:off x="3095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4" name="Rectangle 93"/>
        <xdr:cNvSpPr/>
      </xdr:nvSpPr>
      <xdr:spPr>
        <a:xfrm>
          <a:off x="3111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5" name="Rectangle 94"/>
        <xdr:cNvSpPr/>
      </xdr:nvSpPr>
      <xdr:spPr>
        <a:xfrm>
          <a:off x="3228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6" name="Rectangle 95"/>
        <xdr:cNvSpPr/>
      </xdr:nvSpPr>
      <xdr:spPr>
        <a:xfrm>
          <a:off x="3244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7" name="Rectangle 96"/>
        <xdr:cNvSpPr/>
      </xdr:nvSpPr>
      <xdr:spPr>
        <a:xfrm>
          <a:off x="3362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98" name="Rectangle 97"/>
        <xdr:cNvSpPr/>
      </xdr:nvSpPr>
      <xdr:spPr>
        <a:xfrm>
          <a:off x="34036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99" name="Rectangle 98"/>
        <xdr:cNvSpPr/>
      </xdr:nvSpPr>
      <xdr:spPr>
        <a:xfrm>
          <a:off x="3495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0" name="Rectangle 99"/>
        <xdr:cNvSpPr/>
      </xdr:nvSpPr>
      <xdr:spPr>
        <a:xfrm>
          <a:off x="3511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1" name="Rectangle 100"/>
        <xdr:cNvSpPr/>
      </xdr:nvSpPr>
      <xdr:spPr>
        <a:xfrm>
          <a:off x="36290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2" name="Rectangle 101"/>
        <xdr:cNvSpPr/>
      </xdr:nvSpPr>
      <xdr:spPr>
        <a:xfrm>
          <a:off x="36449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3" name="Rectangle 102"/>
        <xdr:cNvSpPr/>
      </xdr:nvSpPr>
      <xdr:spPr>
        <a:xfrm>
          <a:off x="37623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4" name="Rectangle 103"/>
        <xdr:cNvSpPr/>
      </xdr:nvSpPr>
      <xdr:spPr>
        <a:xfrm>
          <a:off x="37782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5" name="Rectangle 104"/>
        <xdr:cNvSpPr/>
      </xdr:nvSpPr>
      <xdr:spPr>
        <a:xfrm>
          <a:off x="38957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106" name="Rectangle 105"/>
        <xdr:cNvSpPr/>
      </xdr:nvSpPr>
      <xdr:spPr>
        <a:xfrm>
          <a:off x="39116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7" name="Rectangle 106"/>
        <xdr:cNvSpPr/>
      </xdr:nvSpPr>
      <xdr:spPr>
        <a:xfrm>
          <a:off x="40290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108" name="Rectangle 107"/>
        <xdr:cNvSpPr/>
      </xdr:nvSpPr>
      <xdr:spPr>
        <a:xfrm>
          <a:off x="40449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9" name="Rectangle 108"/>
        <xdr:cNvSpPr/>
      </xdr:nvSpPr>
      <xdr:spPr>
        <a:xfrm>
          <a:off x="5495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0" name="Rectangle 109"/>
        <xdr:cNvSpPr/>
      </xdr:nvSpPr>
      <xdr:spPr>
        <a:xfrm>
          <a:off x="5511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1" name="Rectangle 110"/>
        <xdr:cNvSpPr/>
      </xdr:nvSpPr>
      <xdr:spPr>
        <a:xfrm>
          <a:off x="5629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2" name="Rectangle 111"/>
        <xdr:cNvSpPr/>
      </xdr:nvSpPr>
      <xdr:spPr>
        <a:xfrm>
          <a:off x="56451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" name="Rectangle 112"/>
        <xdr:cNvSpPr/>
      </xdr:nvSpPr>
      <xdr:spPr>
        <a:xfrm>
          <a:off x="5762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4" name="Rectangle 113"/>
        <xdr:cNvSpPr/>
      </xdr:nvSpPr>
      <xdr:spPr>
        <a:xfrm>
          <a:off x="5778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5" name="Rectangle 114"/>
        <xdr:cNvSpPr/>
      </xdr:nvSpPr>
      <xdr:spPr>
        <a:xfrm>
          <a:off x="5895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6" name="Rectangle 115"/>
        <xdr:cNvSpPr/>
      </xdr:nvSpPr>
      <xdr:spPr>
        <a:xfrm>
          <a:off x="5911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7" name="Rectangle 116"/>
        <xdr:cNvSpPr/>
      </xdr:nvSpPr>
      <xdr:spPr>
        <a:xfrm>
          <a:off x="6029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118" name="Rectangle 117"/>
        <xdr:cNvSpPr/>
      </xdr:nvSpPr>
      <xdr:spPr>
        <a:xfrm>
          <a:off x="60452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19" name="Rectangle 118"/>
        <xdr:cNvSpPr/>
      </xdr:nvSpPr>
      <xdr:spPr>
        <a:xfrm>
          <a:off x="6162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120" name="Rectangle 119"/>
        <xdr:cNvSpPr/>
      </xdr:nvSpPr>
      <xdr:spPr>
        <a:xfrm>
          <a:off x="6178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1" name="Rectangle 120"/>
        <xdr:cNvSpPr/>
      </xdr:nvSpPr>
      <xdr:spPr>
        <a:xfrm>
          <a:off x="18954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22" name="Rectangle 121"/>
        <xdr:cNvSpPr/>
      </xdr:nvSpPr>
      <xdr:spPr>
        <a:xfrm>
          <a:off x="20288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23" name="Rectangle 122"/>
        <xdr:cNvSpPr/>
      </xdr:nvSpPr>
      <xdr:spPr>
        <a:xfrm>
          <a:off x="21621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24" name="Rectangle 123"/>
        <xdr:cNvSpPr/>
      </xdr:nvSpPr>
      <xdr:spPr>
        <a:xfrm>
          <a:off x="22955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25" name="Rectangle 124"/>
        <xdr:cNvSpPr/>
      </xdr:nvSpPr>
      <xdr:spPr>
        <a:xfrm>
          <a:off x="24288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26" name="Rectangle 125"/>
        <xdr:cNvSpPr/>
      </xdr:nvSpPr>
      <xdr:spPr>
        <a:xfrm>
          <a:off x="25622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27" name="Rectangle 126"/>
        <xdr:cNvSpPr/>
      </xdr:nvSpPr>
      <xdr:spPr>
        <a:xfrm>
          <a:off x="2695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28" name="Rectangle 127"/>
        <xdr:cNvSpPr/>
      </xdr:nvSpPr>
      <xdr:spPr>
        <a:xfrm>
          <a:off x="2828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29" name="Rectangle 128"/>
        <xdr:cNvSpPr/>
      </xdr:nvSpPr>
      <xdr:spPr>
        <a:xfrm>
          <a:off x="2962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30" name="Rectangle 129"/>
        <xdr:cNvSpPr/>
      </xdr:nvSpPr>
      <xdr:spPr>
        <a:xfrm>
          <a:off x="30035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31" name="Rectangle 130"/>
        <xdr:cNvSpPr/>
      </xdr:nvSpPr>
      <xdr:spPr>
        <a:xfrm>
          <a:off x="3095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32" name="Rectangle 131"/>
        <xdr:cNvSpPr/>
      </xdr:nvSpPr>
      <xdr:spPr>
        <a:xfrm>
          <a:off x="31369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3228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34" name="Rectangle 133"/>
        <xdr:cNvSpPr/>
      </xdr:nvSpPr>
      <xdr:spPr>
        <a:xfrm>
          <a:off x="3362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3495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36" name="Rectangle 135"/>
        <xdr:cNvSpPr/>
      </xdr:nvSpPr>
      <xdr:spPr>
        <a:xfrm>
          <a:off x="3629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37" name="Rectangle 136"/>
        <xdr:cNvSpPr/>
      </xdr:nvSpPr>
      <xdr:spPr>
        <a:xfrm>
          <a:off x="36703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37623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38036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3895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41275</xdr:colOff>
      <xdr:row>11</xdr:row>
      <xdr:rowOff>41275</xdr:rowOff>
    </xdr:from>
    <xdr:to>
      <xdr:col>21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39370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40290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43" name="Rectangle 142"/>
        <xdr:cNvSpPr/>
      </xdr:nvSpPr>
      <xdr:spPr>
        <a:xfrm>
          <a:off x="5362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5495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45" name="Rectangle 144"/>
        <xdr:cNvSpPr/>
      </xdr:nvSpPr>
      <xdr:spPr>
        <a:xfrm>
          <a:off x="5629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5762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5895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48" name="Rectangle 147"/>
        <xdr:cNvSpPr/>
      </xdr:nvSpPr>
      <xdr:spPr>
        <a:xfrm>
          <a:off x="6029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6162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50" name="Rectangle 149"/>
        <xdr:cNvSpPr/>
      </xdr:nvSpPr>
      <xdr:spPr>
        <a:xfrm>
          <a:off x="6296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6562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52" name="Rectangle 151"/>
        <xdr:cNvSpPr/>
      </xdr:nvSpPr>
      <xdr:spPr>
        <a:xfrm>
          <a:off x="68294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53" name="Rectangle 152"/>
        <xdr:cNvSpPr/>
      </xdr:nvSpPr>
      <xdr:spPr>
        <a:xfrm>
          <a:off x="20288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41275</xdr:colOff>
      <xdr:row>15</xdr:row>
      <xdr:rowOff>41275</xdr:rowOff>
    </xdr:from>
    <xdr:to>
      <xdr:col>7</xdr:col>
      <xdr:colOff>92075</xdr:colOff>
      <xdr:row>15</xdr:row>
      <xdr:rowOff>168275</xdr:rowOff>
    </xdr:to>
    <xdr:sp macro="" textlink="">
      <xdr:nvSpPr>
        <xdr:cNvPr id="154" name="Rectangle 153"/>
        <xdr:cNvSpPr/>
      </xdr:nvSpPr>
      <xdr:spPr>
        <a:xfrm>
          <a:off x="20701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5" name="Rectangle 154"/>
        <xdr:cNvSpPr/>
      </xdr:nvSpPr>
      <xdr:spPr>
        <a:xfrm>
          <a:off x="21621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15</xdr:row>
      <xdr:rowOff>41275</xdr:rowOff>
    </xdr:from>
    <xdr:to>
      <xdr:col>8</xdr:col>
      <xdr:colOff>117475</xdr:colOff>
      <xdr:row>15</xdr:row>
      <xdr:rowOff>168275</xdr:rowOff>
    </xdr:to>
    <xdr:sp macro="" textlink="">
      <xdr:nvSpPr>
        <xdr:cNvPr id="156" name="Rectangle 155"/>
        <xdr:cNvSpPr/>
      </xdr:nvSpPr>
      <xdr:spPr>
        <a:xfrm>
          <a:off x="217805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7" name="Rectangle 156"/>
        <xdr:cNvSpPr/>
      </xdr:nvSpPr>
      <xdr:spPr>
        <a:xfrm>
          <a:off x="22955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58" name="Rectangle 157"/>
        <xdr:cNvSpPr/>
      </xdr:nvSpPr>
      <xdr:spPr>
        <a:xfrm>
          <a:off x="23114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9" name="Rectangle 158"/>
        <xdr:cNvSpPr/>
      </xdr:nvSpPr>
      <xdr:spPr>
        <a:xfrm>
          <a:off x="25622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60" name="Rectangle 159"/>
        <xdr:cNvSpPr/>
      </xdr:nvSpPr>
      <xdr:spPr>
        <a:xfrm>
          <a:off x="25781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61" name="Rectangle 160"/>
        <xdr:cNvSpPr/>
      </xdr:nvSpPr>
      <xdr:spPr>
        <a:xfrm>
          <a:off x="26955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41275</xdr:colOff>
      <xdr:row>15</xdr:row>
      <xdr:rowOff>41275</xdr:rowOff>
    </xdr:from>
    <xdr:to>
      <xdr:col>12</xdr:col>
      <xdr:colOff>92075</xdr:colOff>
      <xdr:row>15</xdr:row>
      <xdr:rowOff>168275</xdr:rowOff>
    </xdr:to>
    <xdr:sp macro="" textlink="">
      <xdr:nvSpPr>
        <xdr:cNvPr id="162" name="Rectangle 161"/>
        <xdr:cNvSpPr/>
      </xdr:nvSpPr>
      <xdr:spPr>
        <a:xfrm>
          <a:off x="27368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63" name="Rectangle 162"/>
        <xdr:cNvSpPr/>
      </xdr:nvSpPr>
      <xdr:spPr>
        <a:xfrm>
          <a:off x="2828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15</xdr:row>
      <xdr:rowOff>41275</xdr:rowOff>
    </xdr:from>
    <xdr:to>
      <xdr:col>13</xdr:col>
      <xdr:colOff>117475</xdr:colOff>
      <xdr:row>15</xdr:row>
      <xdr:rowOff>168275</xdr:rowOff>
    </xdr:to>
    <xdr:sp macro="" textlink="">
      <xdr:nvSpPr>
        <xdr:cNvPr id="164" name="Rectangle 163"/>
        <xdr:cNvSpPr/>
      </xdr:nvSpPr>
      <xdr:spPr>
        <a:xfrm>
          <a:off x="28448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165" name="Rectangle 164"/>
        <xdr:cNvSpPr/>
      </xdr:nvSpPr>
      <xdr:spPr>
        <a:xfrm>
          <a:off x="5495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166" name="Rectangle 165"/>
        <xdr:cNvSpPr/>
      </xdr:nvSpPr>
      <xdr:spPr>
        <a:xfrm>
          <a:off x="55372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167" name="Rectangle 166"/>
        <xdr:cNvSpPr/>
      </xdr:nvSpPr>
      <xdr:spPr>
        <a:xfrm>
          <a:off x="56292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168" name="Rectangle 167"/>
        <xdr:cNvSpPr/>
      </xdr:nvSpPr>
      <xdr:spPr>
        <a:xfrm>
          <a:off x="56705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169" name="Rectangle 168"/>
        <xdr:cNvSpPr/>
      </xdr:nvSpPr>
      <xdr:spPr>
        <a:xfrm>
          <a:off x="57626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41275</xdr:colOff>
      <xdr:row>15</xdr:row>
      <xdr:rowOff>41275</xdr:rowOff>
    </xdr:from>
    <xdr:to>
      <xdr:col>35</xdr:col>
      <xdr:colOff>92075</xdr:colOff>
      <xdr:row>15</xdr:row>
      <xdr:rowOff>168275</xdr:rowOff>
    </xdr:to>
    <xdr:sp macro="" textlink="">
      <xdr:nvSpPr>
        <xdr:cNvPr id="170" name="Rectangle 169"/>
        <xdr:cNvSpPr/>
      </xdr:nvSpPr>
      <xdr:spPr>
        <a:xfrm>
          <a:off x="58039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171" name="Rectangle 170"/>
        <xdr:cNvSpPr/>
      </xdr:nvSpPr>
      <xdr:spPr>
        <a:xfrm>
          <a:off x="58959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172" name="Rectangle 171"/>
        <xdr:cNvSpPr/>
      </xdr:nvSpPr>
      <xdr:spPr>
        <a:xfrm>
          <a:off x="59372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173" name="Rectangle 172"/>
        <xdr:cNvSpPr/>
      </xdr:nvSpPr>
      <xdr:spPr>
        <a:xfrm>
          <a:off x="60293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174" name="Rectangle 173"/>
        <xdr:cNvSpPr/>
      </xdr:nvSpPr>
      <xdr:spPr>
        <a:xfrm>
          <a:off x="60706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175" name="Rectangle 174"/>
        <xdr:cNvSpPr/>
      </xdr:nvSpPr>
      <xdr:spPr>
        <a:xfrm>
          <a:off x="61626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176" name="Rectangle 175"/>
        <xdr:cNvSpPr/>
      </xdr:nvSpPr>
      <xdr:spPr>
        <a:xfrm>
          <a:off x="62039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25" name="Rectangle 224"/>
        <xdr:cNvSpPr/>
      </xdr:nvSpPr>
      <xdr:spPr>
        <a:xfrm>
          <a:off x="1514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226" name="Rectangle 225"/>
        <xdr:cNvSpPr/>
      </xdr:nvSpPr>
      <xdr:spPr>
        <a:xfrm>
          <a:off x="155575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27" name="Rectangle 226"/>
        <xdr:cNvSpPr/>
      </xdr:nvSpPr>
      <xdr:spPr>
        <a:xfrm>
          <a:off x="1800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228" name="Rectangle 227"/>
        <xdr:cNvSpPr/>
      </xdr:nvSpPr>
      <xdr:spPr>
        <a:xfrm>
          <a:off x="18415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29" name="Rectangle 228"/>
        <xdr:cNvSpPr/>
      </xdr:nvSpPr>
      <xdr:spPr>
        <a:xfrm>
          <a:off x="2085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230" name="Rectangle 229"/>
        <xdr:cNvSpPr/>
      </xdr:nvSpPr>
      <xdr:spPr>
        <a:xfrm>
          <a:off x="2101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31" name="Rectangle 230"/>
        <xdr:cNvSpPr/>
      </xdr:nvSpPr>
      <xdr:spPr>
        <a:xfrm>
          <a:off x="2228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232" name="Rectangle 231"/>
        <xdr:cNvSpPr/>
      </xdr:nvSpPr>
      <xdr:spPr>
        <a:xfrm>
          <a:off x="2244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233" name="Rectangle 232"/>
        <xdr:cNvSpPr/>
      </xdr:nvSpPr>
      <xdr:spPr>
        <a:xfrm>
          <a:off x="2371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234" name="Rectangle 233"/>
        <xdr:cNvSpPr/>
      </xdr:nvSpPr>
      <xdr:spPr>
        <a:xfrm>
          <a:off x="2387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35" name="Rectangle 234"/>
        <xdr:cNvSpPr/>
      </xdr:nvSpPr>
      <xdr:spPr>
        <a:xfrm>
          <a:off x="2514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236" name="Rectangle 235"/>
        <xdr:cNvSpPr/>
      </xdr:nvSpPr>
      <xdr:spPr>
        <a:xfrm>
          <a:off x="2530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37" name="Rectangle 236"/>
        <xdr:cNvSpPr/>
      </xdr:nvSpPr>
      <xdr:spPr>
        <a:xfrm>
          <a:off x="2657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238" name="Rectangle 237"/>
        <xdr:cNvSpPr/>
      </xdr:nvSpPr>
      <xdr:spPr>
        <a:xfrm>
          <a:off x="2673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39" name="Rectangle 238"/>
        <xdr:cNvSpPr/>
      </xdr:nvSpPr>
      <xdr:spPr>
        <a:xfrm>
          <a:off x="2800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240" name="Rectangle 239"/>
        <xdr:cNvSpPr/>
      </xdr:nvSpPr>
      <xdr:spPr>
        <a:xfrm>
          <a:off x="2816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41" name="Rectangle 240"/>
        <xdr:cNvSpPr/>
      </xdr:nvSpPr>
      <xdr:spPr>
        <a:xfrm>
          <a:off x="2943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242" name="Rectangle 241"/>
        <xdr:cNvSpPr/>
      </xdr:nvSpPr>
      <xdr:spPr>
        <a:xfrm>
          <a:off x="2959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42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43" name="Rectangle 242"/>
        <xdr:cNvSpPr/>
      </xdr:nvSpPr>
      <xdr:spPr>
        <a:xfrm>
          <a:off x="3086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244" name="Rectangle 243"/>
        <xdr:cNvSpPr/>
      </xdr:nvSpPr>
      <xdr:spPr>
        <a:xfrm>
          <a:off x="3101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45" name="Rectangle 244"/>
        <xdr:cNvSpPr/>
      </xdr:nvSpPr>
      <xdr:spPr>
        <a:xfrm>
          <a:off x="3228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246" name="Rectangle 245"/>
        <xdr:cNvSpPr/>
      </xdr:nvSpPr>
      <xdr:spPr>
        <a:xfrm>
          <a:off x="3244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66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47" name="Rectangle 246"/>
        <xdr:cNvSpPr/>
      </xdr:nvSpPr>
      <xdr:spPr>
        <a:xfrm>
          <a:off x="3371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248" name="Rectangle 247"/>
        <xdr:cNvSpPr/>
      </xdr:nvSpPr>
      <xdr:spPr>
        <a:xfrm>
          <a:off x="3387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249" name="Rectangle 248"/>
        <xdr:cNvSpPr/>
      </xdr:nvSpPr>
      <xdr:spPr>
        <a:xfrm>
          <a:off x="3514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250" name="Rectangle 249"/>
        <xdr:cNvSpPr/>
      </xdr:nvSpPr>
      <xdr:spPr>
        <a:xfrm>
          <a:off x="35560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51" name="Rectangle 250"/>
        <xdr:cNvSpPr/>
      </xdr:nvSpPr>
      <xdr:spPr>
        <a:xfrm>
          <a:off x="3657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252" name="Rectangle 251"/>
        <xdr:cNvSpPr/>
      </xdr:nvSpPr>
      <xdr:spPr>
        <a:xfrm>
          <a:off x="3673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253" name="Rectangle 252"/>
        <xdr:cNvSpPr/>
      </xdr:nvSpPr>
      <xdr:spPr>
        <a:xfrm>
          <a:off x="3800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254" name="Rectangle 253"/>
        <xdr:cNvSpPr/>
      </xdr:nvSpPr>
      <xdr:spPr>
        <a:xfrm>
          <a:off x="3816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38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55" name="Rectangle 254"/>
        <xdr:cNvSpPr/>
      </xdr:nvSpPr>
      <xdr:spPr>
        <a:xfrm>
          <a:off x="3943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256" name="Rectangle 255"/>
        <xdr:cNvSpPr/>
      </xdr:nvSpPr>
      <xdr:spPr>
        <a:xfrm>
          <a:off x="3959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257" name="Rectangle 256"/>
        <xdr:cNvSpPr/>
      </xdr:nvSpPr>
      <xdr:spPr>
        <a:xfrm>
          <a:off x="4086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258" name="Rectangle 257"/>
        <xdr:cNvSpPr/>
      </xdr:nvSpPr>
      <xdr:spPr>
        <a:xfrm>
          <a:off x="4102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35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59" name="Rectangle 258"/>
        <xdr:cNvSpPr/>
      </xdr:nvSpPr>
      <xdr:spPr>
        <a:xfrm>
          <a:off x="4229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260" name="Rectangle 259"/>
        <xdr:cNvSpPr/>
      </xdr:nvSpPr>
      <xdr:spPr>
        <a:xfrm>
          <a:off x="4244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261" name="Rectangle 260"/>
        <xdr:cNvSpPr/>
      </xdr:nvSpPr>
      <xdr:spPr>
        <a:xfrm>
          <a:off x="5800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262" name="Rectangle 261"/>
        <xdr:cNvSpPr/>
      </xdr:nvSpPr>
      <xdr:spPr>
        <a:xfrm>
          <a:off x="5816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263" name="Rectangle 262"/>
        <xdr:cNvSpPr/>
      </xdr:nvSpPr>
      <xdr:spPr>
        <a:xfrm>
          <a:off x="5943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264" name="Rectangle 263"/>
        <xdr:cNvSpPr/>
      </xdr:nvSpPr>
      <xdr:spPr>
        <a:xfrm>
          <a:off x="5959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265" name="Rectangle 264"/>
        <xdr:cNvSpPr/>
      </xdr:nvSpPr>
      <xdr:spPr>
        <a:xfrm>
          <a:off x="6086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266" name="Rectangle 265"/>
        <xdr:cNvSpPr/>
      </xdr:nvSpPr>
      <xdr:spPr>
        <a:xfrm>
          <a:off x="6102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47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267" name="Rectangle 266"/>
        <xdr:cNvSpPr/>
      </xdr:nvSpPr>
      <xdr:spPr>
        <a:xfrm>
          <a:off x="6229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268" name="Rectangle 267"/>
        <xdr:cNvSpPr/>
      </xdr:nvSpPr>
      <xdr:spPr>
        <a:xfrm>
          <a:off x="6245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269" name="Rectangle 268"/>
        <xdr:cNvSpPr/>
      </xdr:nvSpPr>
      <xdr:spPr>
        <a:xfrm>
          <a:off x="6372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270" name="Rectangle 269"/>
        <xdr:cNvSpPr/>
      </xdr:nvSpPr>
      <xdr:spPr>
        <a:xfrm>
          <a:off x="6388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271" name="Rectangle 270"/>
        <xdr:cNvSpPr/>
      </xdr:nvSpPr>
      <xdr:spPr>
        <a:xfrm>
          <a:off x="6515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272" name="Rectangle 271"/>
        <xdr:cNvSpPr/>
      </xdr:nvSpPr>
      <xdr:spPr>
        <a:xfrm>
          <a:off x="6530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10</xdr:col>
      <xdr:colOff>133350</xdr:colOff>
      <xdr:row>28</xdr:row>
      <xdr:rowOff>9526</xdr:rowOff>
    </xdr:from>
    <xdr:to>
      <xdr:col>18</xdr:col>
      <xdr:colOff>0</xdr:colOff>
      <xdr:row>29</xdr:row>
      <xdr:rowOff>0</xdr:rowOff>
    </xdr:to>
    <xdr:sp macro="" textlink="">
      <xdr:nvSpPr>
        <xdr:cNvPr id="273" name="Rectangle 272"/>
        <xdr:cNvSpPr/>
      </xdr:nvSpPr>
      <xdr:spPr>
        <a:xfrm>
          <a:off x="2647950" y="4267201"/>
          <a:ext cx="1009650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42</xdr:col>
      <xdr:colOff>142874</xdr:colOff>
      <xdr:row>28</xdr:row>
      <xdr:rowOff>152400</xdr:rowOff>
    </xdr:from>
    <xdr:to>
      <xdr:col>50</xdr:col>
      <xdr:colOff>133349</xdr:colOff>
      <xdr:row>31</xdr:row>
      <xdr:rowOff>0</xdr:rowOff>
    </xdr:to>
    <xdr:sp macro="" textlink="">
      <xdr:nvSpPr>
        <xdr:cNvPr id="274" name="Rectangle 273"/>
        <xdr:cNvSpPr/>
      </xdr:nvSpPr>
      <xdr:spPr>
        <a:xfrm>
          <a:off x="7696199" y="4410075"/>
          <a:ext cx="12668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0</xdr:colOff>
      <xdr:row>28</xdr:row>
      <xdr:rowOff>152400</xdr:rowOff>
    </xdr:to>
    <xdr:sp macro="" textlink="">
      <xdr:nvSpPr>
        <xdr:cNvPr id="275" name="Rectangle 274"/>
        <xdr:cNvSpPr/>
      </xdr:nvSpPr>
      <xdr:spPr>
        <a:xfrm>
          <a:off x="3876675" y="4257675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142874</xdr:colOff>
      <xdr:row>30</xdr:row>
      <xdr:rowOff>1</xdr:rowOff>
    </xdr:from>
    <xdr:to>
      <xdr:col>15</xdr:col>
      <xdr:colOff>19049</xdr:colOff>
      <xdr:row>31</xdr:row>
      <xdr:rowOff>0</xdr:rowOff>
    </xdr:to>
    <xdr:sp macro="" textlink="">
      <xdr:nvSpPr>
        <xdr:cNvPr id="278" name="Rectangle 277"/>
        <xdr:cNvSpPr/>
      </xdr:nvSpPr>
      <xdr:spPr>
        <a:xfrm>
          <a:off x="2924174" y="4457701"/>
          <a:ext cx="466725" cy="161924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279" name="Rectangle 278"/>
        <xdr:cNvSpPr/>
      </xdr:nvSpPr>
      <xdr:spPr>
        <a:xfrm>
          <a:off x="5943600" y="3933826"/>
          <a:ext cx="7238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280" name="Rectangle 279"/>
        <xdr:cNvSpPr/>
      </xdr:nvSpPr>
      <xdr:spPr>
        <a:xfrm>
          <a:off x="8020050" y="3933825"/>
          <a:ext cx="13049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26</xdr:col>
      <xdr:colOff>219075</xdr:colOff>
      <xdr:row>24</xdr:row>
      <xdr:rowOff>152400</xdr:rowOff>
    </xdr:to>
    <xdr:sp macro="" textlink="">
      <xdr:nvSpPr>
        <xdr:cNvPr id="281" name="Rectangle 280"/>
        <xdr:cNvSpPr/>
      </xdr:nvSpPr>
      <xdr:spPr>
        <a:xfrm>
          <a:off x="1228725" y="3933825"/>
          <a:ext cx="40481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25431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3</xdr:row>
      <xdr:rowOff>41275</xdr:rowOff>
    </xdr:from>
    <xdr:to>
      <xdr:col>7</xdr:col>
      <xdr:colOff>160337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26019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27622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58737</xdr:colOff>
      <xdr:row>3</xdr:row>
      <xdr:rowOff>41275</xdr:rowOff>
    </xdr:from>
    <xdr:to>
      <xdr:col>8</xdr:col>
      <xdr:colOff>160337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28209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9813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3</xdr:row>
      <xdr:rowOff>41275</xdr:rowOff>
    </xdr:from>
    <xdr:to>
      <xdr:col>9</xdr:col>
      <xdr:colOff>160337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30400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2004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9" name="Rectangle 8"/>
        <xdr:cNvSpPr/>
      </xdr:nvSpPr>
      <xdr:spPr>
        <a:xfrm>
          <a:off x="34194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58737</xdr:colOff>
      <xdr:row>3</xdr:row>
      <xdr:rowOff>41275</xdr:rowOff>
    </xdr:from>
    <xdr:to>
      <xdr:col>11</xdr:col>
      <xdr:colOff>160337</xdr:colOff>
      <xdr:row>3</xdr:row>
      <xdr:rowOff>168275</xdr:rowOff>
    </xdr:to>
    <xdr:sp macro="" textlink="">
      <xdr:nvSpPr>
        <xdr:cNvPr id="10" name="Rectangle 9"/>
        <xdr:cNvSpPr/>
      </xdr:nvSpPr>
      <xdr:spPr>
        <a:xfrm>
          <a:off x="34782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1" name="Rectangle 10"/>
        <xdr:cNvSpPr/>
      </xdr:nvSpPr>
      <xdr:spPr>
        <a:xfrm>
          <a:off x="36385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58737</xdr:colOff>
      <xdr:row>3</xdr:row>
      <xdr:rowOff>41275</xdr:rowOff>
    </xdr:from>
    <xdr:to>
      <xdr:col>12</xdr:col>
      <xdr:colOff>160337</xdr:colOff>
      <xdr:row>3</xdr:row>
      <xdr:rowOff>168275</xdr:rowOff>
    </xdr:to>
    <xdr:sp macro="" textlink="">
      <xdr:nvSpPr>
        <xdr:cNvPr id="12" name="Rectangle 11"/>
        <xdr:cNvSpPr/>
      </xdr:nvSpPr>
      <xdr:spPr>
        <a:xfrm>
          <a:off x="36972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3" name="Rectangle 12"/>
        <xdr:cNvSpPr/>
      </xdr:nvSpPr>
      <xdr:spPr>
        <a:xfrm>
          <a:off x="38576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3</xdr:row>
      <xdr:rowOff>41275</xdr:rowOff>
    </xdr:from>
    <xdr:to>
      <xdr:col>13</xdr:col>
      <xdr:colOff>160337</xdr:colOff>
      <xdr:row>3</xdr:row>
      <xdr:rowOff>168275</xdr:rowOff>
    </xdr:to>
    <xdr:sp macro="" textlink="">
      <xdr:nvSpPr>
        <xdr:cNvPr id="14" name="Rectangle 13"/>
        <xdr:cNvSpPr/>
      </xdr:nvSpPr>
      <xdr:spPr>
        <a:xfrm>
          <a:off x="39163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15" name="Rectangle 14"/>
        <xdr:cNvSpPr/>
      </xdr:nvSpPr>
      <xdr:spPr>
        <a:xfrm>
          <a:off x="40767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58737</xdr:colOff>
      <xdr:row>3</xdr:row>
      <xdr:rowOff>41275</xdr:rowOff>
    </xdr:from>
    <xdr:to>
      <xdr:col>14</xdr:col>
      <xdr:colOff>160337</xdr:colOff>
      <xdr:row>3</xdr:row>
      <xdr:rowOff>168275</xdr:rowOff>
    </xdr:to>
    <xdr:sp macro="" textlink="">
      <xdr:nvSpPr>
        <xdr:cNvPr id="16" name="Rectangle 15"/>
        <xdr:cNvSpPr/>
      </xdr:nvSpPr>
      <xdr:spPr>
        <a:xfrm>
          <a:off x="41354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42957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58737</xdr:colOff>
      <xdr:row>3</xdr:row>
      <xdr:rowOff>41275</xdr:rowOff>
    </xdr:from>
    <xdr:to>
      <xdr:col>15</xdr:col>
      <xdr:colOff>160337</xdr:colOff>
      <xdr:row>3</xdr:row>
      <xdr:rowOff>168275</xdr:rowOff>
    </xdr:to>
    <xdr:sp macro="" textlink="">
      <xdr:nvSpPr>
        <xdr:cNvPr id="18" name="Rectangle 17"/>
        <xdr:cNvSpPr/>
      </xdr:nvSpPr>
      <xdr:spPr>
        <a:xfrm>
          <a:off x="43545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19" name="Rectangle 18"/>
        <xdr:cNvSpPr/>
      </xdr:nvSpPr>
      <xdr:spPr>
        <a:xfrm>
          <a:off x="47339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58737</xdr:colOff>
      <xdr:row>3</xdr:row>
      <xdr:rowOff>41275</xdr:rowOff>
    </xdr:from>
    <xdr:to>
      <xdr:col>17</xdr:col>
      <xdr:colOff>160337</xdr:colOff>
      <xdr:row>3</xdr:row>
      <xdr:rowOff>168275</xdr:rowOff>
    </xdr:to>
    <xdr:sp macro="" textlink="">
      <xdr:nvSpPr>
        <xdr:cNvPr id="20" name="Rectangle 19"/>
        <xdr:cNvSpPr/>
      </xdr:nvSpPr>
      <xdr:spPr>
        <a:xfrm>
          <a:off x="47926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49530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58737</xdr:colOff>
      <xdr:row>3</xdr:row>
      <xdr:rowOff>41275</xdr:rowOff>
    </xdr:from>
    <xdr:to>
      <xdr:col>18</xdr:col>
      <xdr:colOff>160337</xdr:colOff>
      <xdr:row>3</xdr:row>
      <xdr:rowOff>168275</xdr:rowOff>
    </xdr:to>
    <xdr:sp macro="" textlink="">
      <xdr:nvSpPr>
        <xdr:cNvPr id="22" name="Rectangle 21"/>
        <xdr:cNvSpPr/>
      </xdr:nvSpPr>
      <xdr:spPr>
        <a:xfrm>
          <a:off x="50117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23" name="Rectangle 22"/>
        <xdr:cNvSpPr/>
      </xdr:nvSpPr>
      <xdr:spPr>
        <a:xfrm>
          <a:off x="51720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58737</xdr:colOff>
      <xdr:row>3</xdr:row>
      <xdr:rowOff>41275</xdr:rowOff>
    </xdr:from>
    <xdr:to>
      <xdr:col>19</xdr:col>
      <xdr:colOff>160337</xdr:colOff>
      <xdr:row>3</xdr:row>
      <xdr:rowOff>168275</xdr:rowOff>
    </xdr:to>
    <xdr:sp macro="" textlink="">
      <xdr:nvSpPr>
        <xdr:cNvPr id="24" name="Rectangle 23"/>
        <xdr:cNvSpPr/>
      </xdr:nvSpPr>
      <xdr:spPr>
        <a:xfrm>
          <a:off x="52308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25" name="Rectangle 24"/>
        <xdr:cNvSpPr/>
      </xdr:nvSpPr>
      <xdr:spPr>
        <a:xfrm>
          <a:off x="53911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58737</xdr:colOff>
      <xdr:row>3</xdr:row>
      <xdr:rowOff>41275</xdr:rowOff>
    </xdr:from>
    <xdr:to>
      <xdr:col>20</xdr:col>
      <xdr:colOff>160337</xdr:colOff>
      <xdr:row>3</xdr:row>
      <xdr:rowOff>168275</xdr:rowOff>
    </xdr:to>
    <xdr:sp macro="" textlink="">
      <xdr:nvSpPr>
        <xdr:cNvPr id="26" name="Rectangle 25"/>
        <xdr:cNvSpPr/>
      </xdr:nvSpPr>
      <xdr:spPr>
        <a:xfrm>
          <a:off x="54498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27" name="Rectangle 26"/>
        <xdr:cNvSpPr/>
      </xdr:nvSpPr>
      <xdr:spPr>
        <a:xfrm>
          <a:off x="56102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58737</xdr:colOff>
      <xdr:row>3</xdr:row>
      <xdr:rowOff>41275</xdr:rowOff>
    </xdr:from>
    <xdr:to>
      <xdr:col>21</xdr:col>
      <xdr:colOff>160337</xdr:colOff>
      <xdr:row>3</xdr:row>
      <xdr:rowOff>168275</xdr:rowOff>
    </xdr:to>
    <xdr:sp macro="" textlink="">
      <xdr:nvSpPr>
        <xdr:cNvPr id="28" name="Rectangle 27"/>
        <xdr:cNvSpPr/>
      </xdr:nvSpPr>
      <xdr:spPr>
        <a:xfrm>
          <a:off x="56689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29" name="Rectangle 28"/>
        <xdr:cNvSpPr/>
      </xdr:nvSpPr>
      <xdr:spPr>
        <a:xfrm>
          <a:off x="58293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58737</xdr:colOff>
      <xdr:row>3</xdr:row>
      <xdr:rowOff>41275</xdr:rowOff>
    </xdr:from>
    <xdr:to>
      <xdr:col>22</xdr:col>
      <xdr:colOff>160337</xdr:colOff>
      <xdr:row>3</xdr:row>
      <xdr:rowOff>168275</xdr:rowOff>
    </xdr:to>
    <xdr:sp macro="" textlink="">
      <xdr:nvSpPr>
        <xdr:cNvPr id="30" name="Rectangle 29"/>
        <xdr:cNvSpPr/>
      </xdr:nvSpPr>
      <xdr:spPr>
        <a:xfrm>
          <a:off x="58880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60483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58737</xdr:colOff>
      <xdr:row>3</xdr:row>
      <xdr:rowOff>41275</xdr:rowOff>
    </xdr:from>
    <xdr:to>
      <xdr:col>23</xdr:col>
      <xdr:colOff>160337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61071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33" name="Rectangle 32"/>
        <xdr:cNvSpPr/>
      </xdr:nvSpPr>
      <xdr:spPr>
        <a:xfrm>
          <a:off x="23241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84137</xdr:colOff>
      <xdr:row>19</xdr:row>
      <xdr:rowOff>41275</xdr:rowOff>
    </xdr:from>
    <xdr:to>
      <xdr:col>6</xdr:col>
      <xdr:colOff>134937</xdr:colOff>
      <xdr:row>19</xdr:row>
      <xdr:rowOff>168275</xdr:rowOff>
    </xdr:to>
    <xdr:sp macro="" textlink="">
      <xdr:nvSpPr>
        <xdr:cNvPr id="34" name="Rectangle 33"/>
        <xdr:cNvSpPr/>
      </xdr:nvSpPr>
      <xdr:spPr>
        <a:xfrm>
          <a:off x="24082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35" name="Rectangle 34"/>
        <xdr:cNvSpPr/>
      </xdr:nvSpPr>
      <xdr:spPr>
        <a:xfrm>
          <a:off x="32004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84137</xdr:colOff>
      <xdr:row>19</xdr:row>
      <xdr:rowOff>41275</xdr:rowOff>
    </xdr:from>
    <xdr:to>
      <xdr:col>10</xdr:col>
      <xdr:colOff>134937</xdr:colOff>
      <xdr:row>19</xdr:row>
      <xdr:rowOff>168275</xdr:rowOff>
    </xdr:to>
    <xdr:sp macro="" textlink="">
      <xdr:nvSpPr>
        <xdr:cNvPr id="36" name="Rectangle 35"/>
        <xdr:cNvSpPr/>
      </xdr:nvSpPr>
      <xdr:spPr>
        <a:xfrm>
          <a:off x="32845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37" name="Rectangle 36"/>
        <xdr:cNvSpPr/>
      </xdr:nvSpPr>
      <xdr:spPr>
        <a:xfrm>
          <a:off x="40767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84137</xdr:colOff>
      <xdr:row>19</xdr:row>
      <xdr:rowOff>41275</xdr:rowOff>
    </xdr:from>
    <xdr:to>
      <xdr:col>14</xdr:col>
      <xdr:colOff>134937</xdr:colOff>
      <xdr:row>19</xdr:row>
      <xdr:rowOff>168275</xdr:rowOff>
    </xdr:to>
    <xdr:sp macro="" textlink="">
      <xdr:nvSpPr>
        <xdr:cNvPr id="38" name="Rectangle 37"/>
        <xdr:cNvSpPr/>
      </xdr:nvSpPr>
      <xdr:spPr>
        <a:xfrm>
          <a:off x="41608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39" name="Rectangle 38"/>
        <xdr:cNvSpPr/>
      </xdr:nvSpPr>
      <xdr:spPr>
        <a:xfrm>
          <a:off x="49530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84137</xdr:colOff>
      <xdr:row>19</xdr:row>
      <xdr:rowOff>41275</xdr:rowOff>
    </xdr:from>
    <xdr:to>
      <xdr:col>18</xdr:col>
      <xdr:colOff>134937</xdr:colOff>
      <xdr:row>19</xdr:row>
      <xdr:rowOff>168275</xdr:rowOff>
    </xdr:to>
    <xdr:sp macro="" textlink="">
      <xdr:nvSpPr>
        <xdr:cNvPr id="40" name="Rectangle 39"/>
        <xdr:cNvSpPr/>
      </xdr:nvSpPr>
      <xdr:spPr>
        <a:xfrm>
          <a:off x="50371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41" name="Rectangle 40"/>
        <xdr:cNvSpPr/>
      </xdr:nvSpPr>
      <xdr:spPr>
        <a:xfrm>
          <a:off x="60483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84137</xdr:colOff>
      <xdr:row>19</xdr:row>
      <xdr:rowOff>41275</xdr:rowOff>
    </xdr:from>
    <xdr:to>
      <xdr:col>23</xdr:col>
      <xdr:colOff>134937</xdr:colOff>
      <xdr:row>19</xdr:row>
      <xdr:rowOff>168275</xdr:rowOff>
    </xdr:to>
    <xdr:sp macro="" textlink="">
      <xdr:nvSpPr>
        <xdr:cNvPr id="42" name="Rectangle 41"/>
        <xdr:cNvSpPr/>
      </xdr:nvSpPr>
      <xdr:spPr>
        <a:xfrm>
          <a:off x="61325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43" name="Rectangle 42"/>
        <xdr:cNvSpPr/>
      </xdr:nvSpPr>
      <xdr:spPr>
        <a:xfrm>
          <a:off x="69246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27</xdr:col>
      <xdr:colOff>84137</xdr:colOff>
      <xdr:row>19</xdr:row>
      <xdr:rowOff>41275</xdr:rowOff>
    </xdr:from>
    <xdr:to>
      <xdr:col>27</xdr:col>
      <xdr:colOff>134937</xdr:colOff>
      <xdr:row>19</xdr:row>
      <xdr:rowOff>168275</xdr:rowOff>
    </xdr:to>
    <xdr:sp macro="" textlink="">
      <xdr:nvSpPr>
        <xdr:cNvPr id="44" name="Rectangle 43"/>
        <xdr:cNvSpPr/>
      </xdr:nvSpPr>
      <xdr:spPr>
        <a:xfrm>
          <a:off x="70088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5" name="Rectangle 44"/>
        <xdr:cNvSpPr/>
      </xdr:nvSpPr>
      <xdr:spPr>
        <a:xfrm>
          <a:off x="25431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7</xdr:row>
      <xdr:rowOff>41275</xdr:rowOff>
    </xdr:from>
    <xdr:to>
      <xdr:col>7</xdr:col>
      <xdr:colOff>160337</xdr:colOff>
      <xdr:row>7</xdr:row>
      <xdr:rowOff>168275</xdr:rowOff>
    </xdr:to>
    <xdr:sp macro="" textlink="">
      <xdr:nvSpPr>
        <xdr:cNvPr id="46" name="Rectangle 45"/>
        <xdr:cNvSpPr/>
      </xdr:nvSpPr>
      <xdr:spPr>
        <a:xfrm>
          <a:off x="26019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7" name="Rectangle 46"/>
        <xdr:cNvSpPr/>
      </xdr:nvSpPr>
      <xdr:spPr>
        <a:xfrm>
          <a:off x="27622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58737</xdr:colOff>
      <xdr:row>7</xdr:row>
      <xdr:rowOff>41275</xdr:rowOff>
    </xdr:from>
    <xdr:to>
      <xdr:col>8</xdr:col>
      <xdr:colOff>160337</xdr:colOff>
      <xdr:row>7</xdr:row>
      <xdr:rowOff>168275</xdr:rowOff>
    </xdr:to>
    <xdr:sp macro="" textlink="">
      <xdr:nvSpPr>
        <xdr:cNvPr id="48" name="Rectangle 47"/>
        <xdr:cNvSpPr/>
      </xdr:nvSpPr>
      <xdr:spPr>
        <a:xfrm>
          <a:off x="28209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9" name="Rectangle 48"/>
        <xdr:cNvSpPr/>
      </xdr:nvSpPr>
      <xdr:spPr>
        <a:xfrm>
          <a:off x="29813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7</xdr:row>
      <xdr:rowOff>41275</xdr:rowOff>
    </xdr:from>
    <xdr:to>
      <xdr:col>9</xdr:col>
      <xdr:colOff>160337</xdr:colOff>
      <xdr:row>7</xdr:row>
      <xdr:rowOff>168275</xdr:rowOff>
    </xdr:to>
    <xdr:sp macro="" textlink="">
      <xdr:nvSpPr>
        <xdr:cNvPr id="50" name="Rectangle 49"/>
        <xdr:cNvSpPr/>
      </xdr:nvSpPr>
      <xdr:spPr>
        <a:xfrm>
          <a:off x="30400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51" name="Rectangle 50"/>
        <xdr:cNvSpPr/>
      </xdr:nvSpPr>
      <xdr:spPr>
        <a:xfrm>
          <a:off x="34194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58737</xdr:colOff>
      <xdr:row>7</xdr:row>
      <xdr:rowOff>41275</xdr:rowOff>
    </xdr:from>
    <xdr:to>
      <xdr:col>11</xdr:col>
      <xdr:colOff>160337</xdr:colOff>
      <xdr:row>7</xdr:row>
      <xdr:rowOff>168275</xdr:rowOff>
    </xdr:to>
    <xdr:sp macro="" textlink="">
      <xdr:nvSpPr>
        <xdr:cNvPr id="52" name="Rectangle 51"/>
        <xdr:cNvSpPr/>
      </xdr:nvSpPr>
      <xdr:spPr>
        <a:xfrm>
          <a:off x="34782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53" name="Rectangle 52"/>
        <xdr:cNvSpPr/>
      </xdr:nvSpPr>
      <xdr:spPr>
        <a:xfrm>
          <a:off x="36385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58737</xdr:colOff>
      <xdr:row>7</xdr:row>
      <xdr:rowOff>41275</xdr:rowOff>
    </xdr:from>
    <xdr:to>
      <xdr:col>12</xdr:col>
      <xdr:colOff>160337</xdr:colOff>
      <xdr:row>7</xdr:row>
      <xdr:rowOff>168275</xdr:rowOff>
    </xdr:to>
    <xdr:sp macro="" textlink="">
      <xdr:nvSpPr>
        <xdr:cNvPr id="54" name="Rectangle 53"/>
        <xdr:cNvSpPr/>
      </xdr:nvSpPr>
      <xdr:spPr>
        <a:xfrm>
          <a:off x="36972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55" name="Rectangle 54"/>
        <xdr:cNvSpPr/>
      </xdr:nvSpPr>
      <xdr:spPr>
        <a:xfrm>
          <a:off x="38576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7</xdr:row>
      <xdr:rowOff>41275</xdr:rowOff>
    </xdr:from>
    <xdr:to>
      <xdr:col>13</xdr:col>
      <xdr:colOff>160337</xdr:colOff>
      <xdr:row>7</xdr:row>
      <xdr:rowOff>168275</xdr:rowOff>
    </xdr:to>
    <xdr:sp macro="" textlink="">
      <xdr:nvSpPr>
        <xdr:cNvPr id="56" name="Rectangle 55"/>
        <xdr:cNvSpPr/>
      </xdr:nvSpPr>
      <xdr:spPr>
        <a:xfrm>
          <a:off x="39163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57" name="Rectangle 56"/>
        <xdr:cNvSpPr/>
      </xdr:nvSpPr>
      <xdr:spPr>
        <a:xfrm>
          <a:off x="40767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58737</xdr:colOff>
      <xdr:row>7</xdr:row>
      <xdr:rowOff>41275</xdr:rowOff>
    </xdr:from>
    <xdr:to>
      <xdr:col>14</xdr:col>
      <xdr:colOff>160337</xdr:colOff>
      <xdr:row>7</xdr:row>
      <xdr:rowOff>168275</xdr:rowOff>
    </xdr:to>
    <xdr:sp macro="" textlink="">
      <xdr:nvSpPr>
        <xdr:cNvPr id="58" name="Rectangle 57"/>
        <xdr:cNvSpPr/>
      </xdr:nvSpPr>
      <xdr:spPr>
        <a:xfrm>
          <a:off x="41354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56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59" name="Rectangle 58"/>
        <xdr:cNvSpPr/>
      </xdr:nvSpPr>
      <xdr:spPr>
        <a:xfrm>
          <a:off x="42957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58737</xdr:colOff>
      <xdr:row>7</xdr:row>
      <xdr:rowOff>41275</xdr:rowOff>
    </xdr:from>
    <xdr:to>
      <xdr:col>15</xdr:col>
      <xdr:colOff>160337</xdr:colOff>
      <xdr:row>7</xdr:row>
      <xdr:rowOff>168275</xdr:rowOff>
    </xdr:to>
    <xdr:sp macro="" textlink="">
      <xdr:nvSpPr>
        <xdr:cNvPr id="60" name="Rectangle 59"/>
        <xdr:cNvSpPr/>
      </xdr:nvSpPr>
      <xdr:spPr>
        <a:xfrm>
          <a:off x="43545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" name="Rectangle 60"/>
        <xdr:cNvSpPr/>
      </xdr:nvSpPr>
      <xdr:spPr>
        <a:xfrm>
          <a:off x="47339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58737</xdr:colOff>
      <xdr:row>7</xdr:row>
      <xdr:rowOff>41275</xdr:rowOff>
    </xdr:from>
    <xdr:to>
      <xdr:col>17</xdr:col>
      <xdr:colOff>160337</xdr:colOff>
      <xdr:row>7</xdr:row>
      <xdr:rowOff>168275</xdr:rowOff>
    </xdr:to>
    <xdr:sp macro="" textlink="">
      <xdr:nvSpPr>
        <xdr:cNvPr id="62" name="Rectangle 61"/>
        <xdr:cNvSpPr/>
      </xdr:nvSpPr>
      <xdr:spPr>
        <a:xfrm>
          <a:off x="47926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63" name="Rectangle 62"/>
        <xdr:cNvSpPr/>
      </xdr:nvSpPr>
      <xdr:spPr>
        <a:xfrm>
          <a:off x="49530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58737</xdr:colOff>
      <xdr:row>7</xdr:row>
      <xdr:rowOff>41275</xdr:rowOff>
    </xdr:from>
    <xdr:to>
      <xdr:col>18</xdr:col>
      <xdr:colOff>160337</xdr:colOff>
      <xdr:row>7</xdr:row>
      <xdr:rowOff>168275</xdr:rowOff>
    </xdr:to>
    <xdr:sp macro="" textlink="">
      <xdr:nvSpPr>
        <xdr:cNvPr id="64" name="Rectangle 63"/>
        <xdr:cNvSpPr/>
      </xdr:nvSpPr>
      <xdr:spPr>
        <a:xfrm>
          <a:off x="50117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5" name="Rectangle 64"/>
        <xdr:cNvSpPr/>
      </xdr:nvSpPr>
      <xdr:spPr>
        <a:xfrm>
          <a:off x="51720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58737</xdr:colOff>
      <xdr:row>7</xdr:row>
      <xdr:rowOff>41275</xdr:rowOff>
    </xdr:from>
    <xdr:to>
      <xdr:col>19</xdr:col>
      <xdr:colOff>160337</xdr:colOff>
      <xdr:row>7</xdr:row>
      <xdr:rowOff>168275</xdr:rowOff>
    </xdr:to>
    <xdr:sp macro="" textlink="">
      <xdr:nvSpPr>
        <xdr:cNvPr id="66" name="Rectangle 65"/>
        <xdr:cNvSpPr/>
      </xdr:nvSpPr>
      <xdr:spPr>
        <a:xfrm>
          <a:off x="52308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67" name="Rectangle 66"/>
        <xdr:cNvSpPr/>
      </xdr:nvSpPr>
      <xdr:spPr>
        <a:xfrm>
          <a:off x="53911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58737</xdr:colOff>
      <xdr:row>7</xdr:row>
      <xdr:rowOff>41275</xdr:rowOff>
    </xdr:from>
    <xdr:to>
      <xdr:col>20</xdr:col>
      <xdr:colOff>160337</xdr:colOff>
      <xdr:row>7</xdr:row>
      <xdr:rowOff>168275</xdr:rowOff>
    </xdr:to>
    <xdr:sp macro="" textlink="">
      <xdr:nvSpPr>
        <xdr:cNvPr id="68" name="Rectangle 67"/>
        <xdr:cNvSpPr/>
      </xdr:nvSpPr>
      <xdr:spPr>
        <a:xfrm>
          <a:off x="54498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9" name="Rectangle 68"/>
        <xdr:cNvSpPr/>
      </xdr:nvSpPr>
      <xdr:spPr>
        <a:xfrm>
          <a:off x="56102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58737</xdr:colOff>
      <xdr:row>7</xdr:row>
      <xdr:rowOff>41275</xdr:rowOff>
    </xdr:from>
    <xdr:to>
      <xdr:col>21</xdr:col>
      <xdr:colOff>160337</xdr:colOff>
      <xdr:row>7</xdr:row>
      <xdr:rowOff>168275</xdr:rowOff>
    </xdr:to>
    <xdr:sp macro="" textlink="">
      <xdr:nvSpPr>
        <xdr:cNvPr id="70" name="Rectangle 69"/>
        <xdr:cNvSpPr/>
      </xdr:nvSpPr>
      <xdr:spPr>
        <a:xfrm>
          <a:off x="56689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71" name="Rectangle 70"/>
        <xdr:cNvSpPr/>
      </xdr:nvSpPr>
      <xdr:spPr>
        <a:xfrm>
          <a:off x="58293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58737</xdr:colOff>
      <xdr:row>7</xdr:row>
      <xdr:rowOff>41275</xdr:rowOff>
    </xdr:from>
    <xdr:to>
      <xdr:col>22</xdr:col>
      <xdr:colOff>160337</xdr:colOff>
      <xdr:row>7</xdr:row>
      <xdr:rowOff>168275</xdr:rowOff>
    </xdr:to>
    <xdr:sp macro="" textlink="">
      <xdr:nvSpPr>
        <xdr:cNvPr id="72" name="Rectangle 71"/>
        <xdr:cNvSpPr/>
      </xdr:nvSpPr>
      <xdr:spPr>
        <a:xfrm>
          <a:off x="58880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60483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58737</xdr:colOff>
      <xdr:row>7</xdr:row>
      <xdr:rowOff>41275</xdr:rowOff>
    </xdr:from>
    <xdr:to>
      <xdr:col>23</xdr:col>
      <xdr:colOff>160337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61071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75" name="Rectangle 74"/>
        <xdr:cNvSpPr/>
      </xdr:nvSpPr>
      <xdr:spPr>
        <a:xfrm>
          <a:off x="23241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76" name="Rectangle 75"/>
        <xdr:cNvSpPr/>
      </xdr:nvSpPr>
      <xdr:spPr>
        <a:xfrm>
          <a:off x="25431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84137</xdr:colOff>
      <xdr:row>11</xdr:row>
      <xdr:rowOff>41275</xdr:rowOff>
    </xdr:from>
    <xdr:to>
      <xdr:col>7</xdr:col>
      <xdr:colOff>134937</xdr:colOff>
      <xdr:row>11</xdr:row>
      <xdr:rowOff>168275</xdr:rowOff>
    </xdr:to>
    <xdr:sp macro="" textlink="">
      <xdr:nvSpPr>
        <xdr:cNvPr id="77" name="Rectangle 76"/>
        <xdr:cNvSpPr/>
      </xdr:nvSpPr>
      <xdr:spPr>
        <a:xfrm>
          <a:off x="26273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78" name="Rectangle 77"/>
        <xdr:cNvSpPr/>
      </xdr:nvSpPr>
      <xdr:spPr>
        <a:xfrm>
          <a:off x="27622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84137</xdr:colOff>
      <xdr:row>11</xdr:row>
      <xdr:rowOff>41275</xdr:rowOff>
    </xdr:from>
    <xdr:to>
      <xdr:col>8</xdr:col>
      <xdr:colOff>134937</xdr:colOff>
      <xdr:row>11</xdr:row>
      <xdr:rowOff>168275</xdr:rowOff>
    </xdr:to>
    <xdr:sp macro="" textlink="">
      <xdr:nvSpPr>
        <xdr:cNvPr id="79" name="Rectangle 78"/>
        <xdr:cNvSpPr/>
      </xdr:nvSpPr>
      <xdr:spPr>
        <a:xfrm>
          <a:off x="28463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80" name="Rectangle 79"/>
        <xdr:cNvSpPr/>
      </xdr:nvSpPr>
      <xdr:spPr>
        <a:xfrm>
          <a:off x="29813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84137</xdr:colOff>
      <xdr:row>11</xdr:row>
      <xdr:rowOff>41275</xdr:rowOff>
    </xdr:from>
    <xdr:to>
      <xdr:col>9</xdr:col>
      <xdr:colOff>134937</xdr:colOff>
      <xdr:row>11</xdr:row>
      <xdr:rowOff>168275</xdr:rowOff>
    </xdr:to>
    <xdr:sp macro="" textlink="">
      <xdr:nvSpPr>
        <xdr:cNvPr id="81" name="Rectangle 80"/>
        <xdr:cNvSpPr/>
      </xdr:nvSpPr>
      <xdr:spPr>
        <a:xfrm>
          <a:off x="30654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82" name="Rectangle 81"/>
        <xdr:cNvSpPr/>
      </xdr:nvSpPr>
      <xdr:spPr>
        <a:xfrm>
          <a:off x="32004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83" name="Rectangle 82"/>
        <xdr:cNvSpPr/>
      </xdr:nvSpPr>
      <xdr:spPr>
        <a:xfrm>
          <a:off x="34194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84137</xdr:colOff>
      <xdr:row>11</xdr:row>
      <xdr:rowOff>41275</xdr:rowOff>
    </xdr:from>
    <xdr:to>
      <xdr:col>11</xdr:col>
      <xdr:colOff>134937</xdr:colOff>
      <xdr:row>11</xdr:row>
      <xdr:rowOff>168275</xdr:rowOff>
    </xdr:to>
    <xdr:sp macro="" textlink="">
      <xdr:nvSpPr>
        <xdr:cNvPr id="84" name="Rectangle 83"/>
        <xdr:cNvSpPr/>
      </xdr:nvSpPr>
      <xdr:spPr>
        <a:xfrm>
          <a:off x="35036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85" name="Rectangle 84"/>
        <xdr:cNvSpPr/>
      </xdr:nvSpPr>
      <xdr:spPr>
        <a:xfrm>
          <a:off x="36385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84137</xdr:colOff>
      <xdr:row>11</xdr:row>
      <xdr:rowOff>41275</xdr:rowOff>
    </xdr:from>
    <xdr:to>
      <xdr:col>12</xdr:col>
      <xdr:colOff>134937</xdr:colOff>
      <xdr:row>11</xdr:row>
      <xdr:rowOff>168275</xdr:rowOff>
    </xdr:to>
    <xdr:sp macro="" textlink="">
      <xdr:nvSpPr>
        <xdr:cNvPr id="86" name="Rectangle 85"/>
        <xdr:cNvSpPr/>
      </xdr:nvSpPr>
      <xdr:spPr>
        <a:xfrm>
          <a:off x="37226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87" name="Rectangle 86"/>
        <xdr:cNvSpPr/>
      </xdr:nvSpPr>
      <xdr:spPr>
        <a:xfrm>
          <a:off x="38576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84137</xdr:colOff>
      <xdr:row>11</xdr:row>
      <xdr:rowOff>41275</xdr:rowOff>
    </xdr:from>
    <xdr:to>
      <xdr:col>13</xdr:col>
      <xdr:colOff>134937</xdr:colOff>
      <xdr:row>11</xdr:row>
      <xdr:rowOff>168275</xdr:rowOff>
    </xdr:to>
    <xdr:sp macro="" textlink="">
      <xdr:nvSpPr>
        <xdr:cNvPr id="88" name="Rectangle 87"/>
        <xdr:cNvSpPr/>
      </xdr:nvSpPr>
      <xdr:spPr>
        <a:xfrm>
          <a:off x="39417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89" name="Rectangle 88"/>
        <xdr:cNvSpPr/>
      </xdr:nvSpPr>
      <xdr:spPr>
        <a:xfrm>
          <a:off x="40767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84137</xdr:colOff>
      <xdr:row>11</xdr:row>
      <xdr:rowOff>41275</xdr:rowOff>
    </xdr:from>
    <xdr:to>
      <xdr:col>14</xdr:col>
      <xdr:colOff>134937</xdr:colOff>
      <xdr:row>11</xdr:row>
      <xdr:rowOff>168275</xdr:rowOff>
    </xdr:to>
    <xdr:sp macro="" textlink="">
      <xdr:nvSpPr>
        <xdr:cNvPr id="90" name="Rectangle 89"/>
        <xdr:cNvSpPr/>
      </xdr:nvSpPr>
      <xdr:spPr>
        <a:xfrm>
          <a:off x="41608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91" name="Rectangle 90"/>
        <xdr:cNvSpPr/>
      </xdr:nvSpPr>
      <xdr:spPr>
        <a:xfrm>
          <a:off x="42957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15</xdr:col>
      <xdr:colOff>84137</xdr:colOff>
      <xdr:row>11</xdr:row>
      <xdr:rowOff>41275</xdr:rowOff>
    </xdr:from>
    <xdr:to>
      <xdr:col>15</xdr:col>
      <xdr:colOff>134937</xdr:colOff>
      <xdr:row>11</xdr:row>
      <xdr:rowOff>168275</xdr:rowOff>
    </xdr:to>
    <xdr:sp macro="" textlink="">
      <xdr:nvSpPr>
        <xdr:cNvPr id="92" name="Rectangle 91"/>
        <xdr:cNvSpPr/>
      </xdr:nvSpPr>
      <xdr:spPr>
        <a:xfrm>
          <a:off x="43799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93" name="Rectangle 92"/>
        <xdr:cNvSpPr/>
      </xdr:nvSpPr>
      <xdr:spPr>
        <a:xfrm>
          <a:off x="45148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94" name="Rectangle 93"/>
        <xdr:cNvSpPr/>
      </xdr:nvSpPr>
      <xdr:spPr>
        <a:xfrm>
          <a:off x="47339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17</xdr:col>
      <xdr:colOff>84137</xdr:colOff>
      <xdr:row>11</xdr:row>
      <xdr:rowOff>41275</xdr:rowOff>
    </xdr:from>
    <xdr:to>
      <xdr:col>17</xdr:col>
      <xdr:colOff>134937</xdr:colOff>
      <xdr:row>11</xdr:row>
      <xdr:rowOff>168275</xdr:rowOff>
    </xdr:to>
    <xdr:sp macro="" textlink="">
      <xdr:nvSpPr>
        <xdr:cNvPr id="95" name="Rectangle 94"/>
        <xdr:cNvSpPr/>
      </xdr:nvSpPr>
      <xdr:spPr>
        <a:xfrm>
          <a:off x="48180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96" name="Rectangle 95"/>
        <xdr:cNvSpPr/>
      </xdr:nvSpPr>
      <xdr:spPr>
        <a:xfrm>
          <a:off x="49530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18</xdr:col>
      <xdr:colOff>84137</xdr:colOff>
      <xdr:row>11</xdr:row>
      <xdr:rowOff>41275</xdr:rowOff>
    </xdr:from>
    <xdr:to>
      <xdr:col>18</xdr:col>
      <xdr:colOff>134937</xdr:colOff>
      <xdr:row>11</xdr:row>
      <xdr:rowOff>168275</xdr:rowOff>
    </xdr:to>
    <xdr:sp macro="" textlink="">
      <xdr:nvSpPr>
        <xdr:cNvPr id="97" name="Rectangle 96"/>
        <xdr:cNvSpPr/>
      </xdr:nvSpPr>
      <xdr:spPr>
        <a:xfrm>
          <a:off x="50371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98" name="Rectangle 97"/>
        <xdr:cNvSpPr/>
      </xdr:nvSpPr>
      <xdr:spPr>
        <a:xfrm>
          <a:off x="51720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19</xdr:col>
      <xdr:colOff>84137</xdr:colOff>
      <xdr:row>11</xdr:row>
      <xdr:rowOff>41275</xdr:rowOff>
    </xdr:from>
    <xdr:to>
      <xdr:col>19</xdr:col>
      <xdr:colOff>134937</xdr:colOff>
      <xdr:row>11</xdr:row>
      <xdr:rowOff>168275</xdr:rowOff>
    </xdr:to>
    <xdr:sp macro="" textlink="">
      <xdr:nvSpPr>
        <xdr:cNvPr id="99" name="Rectangle 98"/>
        <xdr:cNvSpPr/>
      </xdr:nvSpPr>
      <xdr:spPr>
        <a:xfrm>
          <a:off x="52562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00" name="Rectangle 99"/>
        <xdr:cNvSpPr/>
      </xdr:nvSpPr>
      <xdr:spPr>
        <a:xfrm>
          <a:off x="53911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84137</xdr:colOff>
      <xdr:row>11</xdr:row>
      <xdr:rowOff>41275</xdr:rowOff>
    </xdr:from>
    <xdr:to>
      <xdr:col>20</xdr:col>
      <xdr:colOff>134937</xdr:colOff>
      <xdr:row>11</xdr:row>
      <xdr:rowOff>168275</xdr:rowOff>
    </xdr:to>
    <xdr:sp macro="" textlink="">
      <xdr:nvSpPr>
        <xdr:cNvPr id="101" name="Rectangle 100"/>
        <xdr:cNvSpPr/>
      </xdr:nvSpPr>
      <xdr:spPr>
        <a:xfrm>
          <a:off x="54752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02" name="Rectangle 101"/>
        <xdr:cNvSpPr/>
      </xdr:nvSpPr>
      <xdr:spPr>
        <a:xfrm>
          <a:off x="56102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21</xdr:col>
      <xdr:colOff>84137</xdr:colOff>
      <xdr:row>11</xdr:row>
      <xdr:rowOff>41275</xdr:rowOff>
    </xdr:from>
    <xdr:to>
      <xdr:col>21</xdr:col>
      <xdr:colOff>134937</xdr:colOff>
      <xdr:row>11</xdr:row>
      <xdr:rowOff>168275</xdr:rowOff>
    </xdr:to>
    <xdr:sp macro="" textlink="">
      <xdr:nvSpPr>
        <xdr:cNvPr id="103" name="Rectangle 102"/>
        <xdr:cNvSpPr/>
      </xdr:nvSpPr>
      <xdr:spPr>
        <a:xfrm>
          <a:off x="56943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04" name="Rectangle 103"/>
        <xdr:cNvSpPr/>
      </xdr:nvSpPr>
      <xdr:spPr>
        <a:xfrm>
          <a:off x="58293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22</xdr:col>
      <xdr:colOff>84137</xdr:colOff>
      <xdr:row>11</xdr:row>
      <xdr:rowOff>41275</xdr:rowOff>
    </xdr:from>
    <xdr:to>
      <xdr:col>22</xdr:col>
      <xdr:colOff>134937</xdr:colOff>
      <xdr:row>11</xdr:row>
      <xdr:rowOff>168275</xdr:rowOff>
    </xdr:to>
    <xdr:sp macro="" textlink="">
      <xdr:nvSpPr>
        <xdr:cNvPr id="105" name="Rectangle 104"/>
        <xdr:cNvSpPr/>
      </xdr:nvSpPr>
      <xdr:spPr>
        <a:xfrm>
          <a:off x="59134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06" name="Rectangle 105"/>
        <xdr:cNvSpPr/>
      </xdr:nvSpPr>
      <xdr:spPr>
        <a:xfrm>
          <a:off x="60483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07" name="Rectangle 106"/>
        <xdr:cNvSpPr/>
      </xdr:nvSpPr>
      <xdr:spPr>
        <a:xfrm>
          <a:off x="62674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08" name="Rectangle 107"/>
        <xdr:cNvSpPr/>
      </xdr:nvSpPr>
      <xdr:spPr>
        <a:xfrm>
          <a:off x="25431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58737</xdr:colOff>
      <xdr:row>15</xdr:row>
      <xdr:rowOff>41275</xdr:rowOff>
    </xdr:from>
    <xdr:to>
      <xdr:col>7</xdr:col>
      <xdr:colOff>160337</xdr:colOff>
      <xdr:row>15</xdr:row>
      <xdr:rowOff>168275</xdr:rowOff>
    </xdr:to>
    <xdr:sp macro="" textlink="">
      <xdr:nvSpPr>
        <xdr:cNvPr id="109" name="Rectangle 108"/>
        <xdr:cNvSpPr/>
      </xdr:nvSpPr>
      <xdr:spPr>
        <a:xfrm>
          <a:off x="260191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0" name="Rectangle 109"/>
        <xdr:cNvSpPr/>
      </xdr:nvSpPr>
      <xdr:spPr>
        <a:xfrm>
          <a:off x="27622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8</xdr:col>
      <xdr:colOff>84137</xdr:colOff>
      <xdr:row>15</xdr:row>
      <xdr:rowOff>41275</xdr:rowOff>
    </xdr:from>
    <xdr:to>
      <xdr:col>8</xdr:col>
      <xdr:colOff>134937</xdr:colOff>
      <xdr:row>15</xdr:row>
      <xdr:rowOff>168275</xdr:rowOff>
    </xdr:to>
    <xdr:sp macro="" textlink="">
      <xdr:nvSpPr>
        <xdr:cNvPr id="111" name="Rectangle 110"/>
        <xdr:cNvSpPr/>
      </xdr:nvSpPr>
      <xdr:spPr>
        <a:xfrm>
          <a:off x="28463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2" name="Rectangle 111"/>
        <xdr:cNvSpPr/>
      </xdr:nvSpPr>
      <xdr:spPr>
        <a:xfrm>
          <a:off x="29813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58737</xdr:colOff>
      <xdr:row>15</xdr:row>
      <xdr:rowOff>41275</xdr:rowOff>
    </xdr:from>
    <xdr:to>
      <xdr:col>9</xdr:col>
      <xdr:colOff>160337</xdr:colOff>
      <xdr:row>15</xdr:row>
      <xdr:rowOff>168275</xdr:rowOff>
    </xdr:to>
    <xdr:sp macro="" textlink="">
      <xdr:nvSpPr>
        <xdr:cNvPr id="113" name="Rectangle 112"/>
        <xdr:cNvSpPr/>
      </xdr:nvSpPr>
      <xdr:spPr>
        <a:xfrm>
          <a:off x="30400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14" name="Rectangle 113"/>
        <xdr:cNvSpPr/>
      </xdr:nvSpPr>
      <xdr:spPr>
        <a:xfrm>
          <a:off x="34194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84137</xdr:colOff>
      <xdr:row>15</xdr:row>
      <xdr:rowOff>41275</xdr:rowOff>
    </xdr:from>
    <xdr:to>
      <xdr:col>11</xdr:col>
      <xdr:colOff>134937</xdr:colOff>
      <xdr:row>15</xdr:row>
      <xdr:rowOff>168275</xdr:rowOff>
    </xdr:to>
    <xdr:sp macro="" textlink="">
      <xdr:nvSpPr>
        <xdr:cNvPr id="115" name="Rectangle 114"/>
        <xdr:cNvSpPr/>
      </xdr:nvSpPr>
      <xdr:spPr>
        <a:xfrm>
          <a:off x="35036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16" name="Rectangle 115"/>
        <xdr:cNvSpPr/>
      </xdr:nvSpPr>
      <xdr:spPr>
        <a:xfrm>
          <a:off x="36385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84137</xdr:colOff>
      <xdr:row>15</xdr:row>
      <xdr:rowOff>41275</xdr:rowOff>
    </xdr:from>
    <xdr:to>
      <xdr:col>12</xdr:col>
      <xdr:colOff>134937</xdr:colOff>
      <xdr:row>15</xdr:row>
      <xdr:rowOff>168275</xdr:rowOff>
    </xdr:to>
    <xdr:sp macro="" textlink="">
      <xdr:nvSpPr>
        <xdr:cNvPr id="117" name="Rectangle 116"/>
        <xdr:cNvSpPr/>
      </xdr:nvSpPr>
      <xdr:spPr>
        <a:xfrm>
          <a:off x="37226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18" name="Rectangle 117"/>
        <xdr:cNvSpPr/>
      </xdr:nvSpPr>
      <xdr:spPr>
        <a:xfrm>
          <a:off x="38576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58737</xdr:colOff>
      <xdr:row>15</xdr:row>
      <xdr:rowOff>41275</xdr:rowOff>
    </xdr:from>
    <xdr:to>
      <xdr:col>13</xdr:col>
      <xdr:colOff>160337</xdr:colOff>
      <xdr:row>15</xdr:row>
      <xdr:rowOff>168275</xdr:rowOff>
    </xdr:to>
    <xdr:sp macro="" textlink="">
      <xdr:nvSpPr>
        <xdr:cNvPr id="119" name="Rectangle 118"/>
        <xdr:cNvSpPr/>
      </xdr:nvSpPr>
      <xdr:spPr>
        <a:xfrm>
          <a:off x="39163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120" name="Rectangle 119"/>
        <xdr:cNvSpPr/>
      </xdr:nvSpPr>
      <xdr:spPr>
        <a:xfrm>
          <a:off x="60483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23</xdr:col>
      <xdr:colOff>84137</xdr:colOff>
      <xdr:row>15</xdr:row>
      <xdr:rowOff>41275</xdr:rowOff>
    </xdr:from>
    <xdr:to>
      <xdr:col>23</xdr:col>
      <xdr:colOff>134937</xdr:colOff>
      <xdr:row>15</xdr:row>
      <xdr:rowOff>168275</xdr:rowOff>
    </xdr:to>
    <xdr:sp macro="" textlink="">
      <xdr:nvSpPr>
        <xdr:cNvPr id="121" name="Rectangle 120"/>
        <xdr:cNvSpPr/>
      </xdr:nvSpPr>
      <xdr:spPr>
        <a:xfrm>
          <a:off x="61325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42</xdr:col>
      <xdr:colOff>123824</xdr:colOff>
      <xdr:row>36</xdr:row>
      <xdr:rowOff>57150</xdr:rowOff>
    </xdr:from>
    <xdr:to>
      <xdr:col>50</xdr:col>
      <xdr:colOff>114299</xdr:colOff>
      <xdr:row>37</xdr:row>
      <xdr:rowOff>123825</xdr:rowOff>
    </xdr:to>
    <xdr:sp macro="" textlink="">
      <xdr:nvSpPr>
        <xdr:cNvPr id="131" name="Rectangle 130"/>
        <xdr:cNvSpPr/>
      </xdr:nvSpPr>
      <xdr:spPr>
        <a:xfrm>
          <a:off x="10382249" y="6010275"/>
          <a:ext cx="2257425" cy="2286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0</xdr:colOff>
      <xdr:row>27</xdr:row>
      <xdr:rowOff>171449</xdr:rowOff>
    </xdr:from>
    <xdr:to>
      <xdr:col>24</xdr:col>
      <xdr:colOff>200026</xdr:colOff>
      <xdr:row>29</xdr:row>
      <xdr:rowOff>9524</xdr:rowOff>
    </xdr:to>
    <xdr:sp macro="" textlink="">
      <xdr:nvSpPr>
        <xdr:cNvPr id="132" name="Rectangle 131"/>
        <xdr:cNvSpPr/>
      </xdr:nvSpPr>
      <xdr:spPr>
        <a:xfrm>
          <a:off x="5391150" y="4457699"/>
          <a:ext cx="1076326" cy="18097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20</xdr:col>
      <xdr:colOff>9524</xdr:colOff>
      <xdr:row>29</xdr:row>
      <xdr:rowOff>28576</xdr:rowOff>
    </xdr:from>
    <xdr:to>
      <xdr:col>25</xdr:col>
      <xdr:colOff>0</xdr:colOff>
      <xdr:row>30</xdr:row>
      <xdr:rowOff>161925</xdr:rowOff>
    </xdr:to>
    <xdr:sp macro="" textlink="">
      <xdr:nvSpPr>
        <xdr:cNvPr id="133" name="Rectangle 132"/>
        <xdr:cNvSpPr/>
      </xdr:nvSpPr>
      <xdr:spPr>
        <a:xfrm>
          <a:off x="5400674" y="4657726"/>
          <a:ext cx="1085851" cy="17144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134" name="Rectangle 133"/>
        <xdr:cNvSpPr/>
      </xdr:nvSpPr>
      <xdr:spPr>
        <a:xfrm>
          <a:off x="6924675" y="3933826"/>
          <a:ext cx="7619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135" name="Rectangle 134"/>
        <xdr:cNvSpPr/>
      </xdr:nvSpPr>
      <xdr:spPr>
        <a:xfrm>
          <a:off x="9039225" y="3933825"/>
          <a:ext cx="14954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54</xdr:col>
      <xdr:colOff>0</xdr:colOff>
      <xdr:row>24</xdr:row>
      <xdr:rowOff>152400</xdr:rowOff>
    </xdr:to>
    <xdr:sp macro="" textlink="">
      <xdr:nvSpPr>
        <xdr:cNvPr id="136" name="Rectangle 135"/>
        <xdr:cNvSpPr/>
      </xdr:nvSpPr>
      <xdr:spPr>
        <a:xfrm>
          <a:off x="2324100" y="3762375"/>
          <a:ext cx="112776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37"/>
  <sheetViews>
    <sheetView showGridLines="0" topLeftCell="C1" zoomScaleNormal="100" workbookViewId="0">
      <selection activeCell="A5" sqref="A5:IV5"/>
    </sheetView>
  </sheetViews>
  <sheetFormatPr defaultRowHeight="12.75"/>
  <cols>
    <col min="1" max="1" width="32" customWidth="1"/>
    <col min="2" max="2" width="2.140625" customWidth="1"/>
    <col min="3" max="3" width="2.7109375" customWidth="1"/>
    <col min="4" max="4" width="3.140625" customWidth="1"/>
    <col min="5" max="5" width="2.140625" customWidth="1"/>
    <col min="6" max="6" width="2.85546875" customWidth="1"/>
    <col min="7" max="7" width="3" customWidth="1"/>
    <col min="8" max="8" width="2.7109375" customWidth="1"/>
    <col min="9" max="9" width="2.85546875" customWidth="1"/>
    <col min="10" max="10" width="2.140625" customWidth="1"/>
    <col min="11" max="11" width="2.5703125" customWidth="1"/>
    <col min="12" max="12" width="2.42578125" customWidth="1"/>
    <col min="13" max="13" width="3.28515625" customWidth="1"/>
    <col min="14" max="14" width="2.140625" customWidth="1"/>
    <col min="15" max="15" width="2.7109375" customWidth="1"/>
    <col min="16" max="16" width="3.42578125" customWidth="1"/>
    <col min="17" max="17" width="3.5703125" customWidth="1"/>
    <col min="18" max="18" width="2.5703125" customWidth="1"/>
    <col min="19" max="19" width="2.140625" customWidth="1"/>
    <col min="20" max="20" width="2.7109375" customWidth="1"/>
    <col min="21" max="21" width="3" customWidth="1"/>
    <col min="22" max="25" width="2.140625" customWidth="1"/>
    <col min="26" max="26" width="3" customWidth="1"/>
    <col min="27" max="27" width="2.140625" customWidth="1"/>
    <col min="28" max="28" width="2.5703125" customWidth="1"/>
    <col min="29" max="29" width="2.85546875" customWidth="1"/>
    <col min="30" max="30" width="2.140625" customWidth="1"/>
    <col min="31" max="31" width="1.85546875" bestFit="1" customWidth="1"/>
    <col min="32" max="33" width="2.140625" customWidth="1"/>
    <col min="34" max="34" width="2.7109375" customWidth="1"/>
    <col min="35" max="36" width="2.140625" customWidth="1"/>
    <col min="37" max="37" width="3.28515625" customWidth="1"/>
    <col min="38" max="38" width="2.7109375" customWidth="1"/>
    <col min="39" max="40" width="2.5703125" customWidth="1"/>
    <col min="41" max="41" width="2.140625" customWidth="1"/>
    <col min="42" max="42" width="4" customWidth="1"/>
    <col min="43" max="43" width="2.140625" customWidth="1"/>
    <col min="44" max="44" width="3" customWidth="1"/>
    <col min="45" max="49" width="2.140625" customWidth="1"/>
    <col min="50" max="50" width="2.7109375" customWidth="1"/>
    <col min="51" max="51" width="2.85546875" customWidth="1"/>
    <col min="52" max="53" width="2.140625" customWidth="1"/>
    <col min="54" max="54" width="7.140625" customWidth="1"/>
    <col min="55" max="55" width="11.140625" bestFit="1" customWidth="1"/>
  </cols>
  <sheetData>
    <row r="1" spans="1:57">
      <c r="A1" s="336" t="s">
        <v>21</v>
      </c>
      <c r="B1" s="329" t="s">
        <v>2</v>
      </c>
      <c r="C1" s="329"/>
      <c r="D1" s="329"/>
      <c r="E1" s="330"/>
      <c r="F1" s="328" t="s">
        <v>3</v>
      </c>
      <c r="G1" s="329"/>
      <c r="H1" s="329"/>
      <c r="I1" s="330"/>
      <c r="J1" s="328" t="s">
        <v>4</v>
      </c>
      <c r="K1" s="329"/>
      <c r="L1" s="329"/>
      <c r="M1" s="329"/>
      <c r="N1" s="330"/>
      <c r="O1" s="328" t="s">
        <v>5</v>
      </c>
      <c r="P1" s="329"/>
      <c r="Q1" s="329"/>
      <c r="R1" s="330"/>
      <c r="S1" s="328" t="s">
        <v>6</v>
      </c>
      <c r="T1" s="329"/>
      <c r="U1" s="329"/>
      <c r="V1" s="329"/>
      <c r="W1" s="330"/>
      <c r="X1" s="328" t="s">
        <v>7</v>
      </c>
      <c r="Y1" s="329"/>
      <c r="Z1" s="329"/>
      <c r="AA1" s="330"/>
      <c r="AB1" s="328" t="s">
        <v>8</v>
      </c>
      <c r="AC1" s="329"/>
      <c r="AD1" s="329"/>
      <c r="AE1" s="330"/>
      <c r="AF1" s="328" t="s">
        <v>9</v>
      </c>
      <c r="AG1" s="329"/>
      <c r="AH1" s="329"/>
      <c r="AI1" s="329"/>
      <c r="AJ1" s="330"/>
      <c r="AK1" s="328" t="s">
        <v>10</v>
      </c>
      <c r="AL1" s="329"/>
      <c r="AM1" s="329"/>
      <c r="AN1" s="330"/>
      <c r="AO1" s="328" t="s">
        <v>11</v>
      </c>
      <c r="AP1" s="329"/>
      <c r="AQ1" s="329"/>
      <c r="AR1" s="330"/>
      <c r="AS1" s="328" t="s">
        <v>12</v>
      </c>
      <c r="AT1" s="329"/>
      <c r="AU1" s="329"/>
      <c r="AV1" s="329"/>
      <c r="AW1" s="330"/>
      <c r="AX1" s="328" t="s">
        <v>13</v>
      </c>
      <c r="AY1" s="329"/>
      <c r="AZ1" s="329"/>
      <c r="BA1" s="329"/>
      <c r="BB1" s="331" t="s">
        <v>0</v>
      </c>
      <c r="BC1" s="326" t="s">
        <v>1</v>
      </c>
    </row>
    <row r="2" spans="1:57" ht="13.5" thickBot="1">
      <c r="A2" s="337"/>
      <c r="B2" s="31">
        <v>29</v>
      </c>
      <c r="C2" s="32">
        <v>5</v>
      </c>
      <c r="D2" s="32">
        <v>12</v>
      </c>
      <c r="E2" s="32">
        <v>19</v>
      </c>
      <c r="F2" s="32">
        <v>26</v>
      </c>
      <c r="G2" s="32">
        <v>2</v>
      </c>
      <c r="H2" s="32">
        <v>9</v>
      </c>
      <c r="I2" s="32">
        <v>16</v>
      </c>
      <c r="J2" s="32">
        <v>23</v>
      </c>
      <c r="K2" s="32">
        <v>2</v>
      </c>
      <c r="L2" s="32">
        <v>9</v>
      </c>
      <c r="M2" s="32">
        <v>16</v>
      </c>
      <c r="N2" s="32">
        <v>23</v>
      </c>
      <c r="O2" s="32">
        <v>30</v>
      </c>
      <c r="P2" s="32">
        <v>6</v>
      </c>
      <c r="Q2" s="32">
        <v>13</v>
      </c>
      <c r="R2" s="32">
        <v>20</v>
      </c>
      <c r="S2" s="32">
        <v>27</v>
      </c>
      <c r="T2" s="32">
        <v>4</v>
      </c>
      <c r="U2" s="32">
        <v>11</v>
      </c>
      <c r="V2" s="32">
        <v>18</v>
      </c>
      <c r="W2" s="32">
        <v>25</v>
      </c>
      <c r="X2" s="32">
        <v>1</v>
      </c>
      <c r="Y2" s="32">
        <v>8</v>
      </c>
      <c r="Z2" s="32">
        <v>15</v>
      </c>
      <c r="AA2" s="32">
        <v>22</v>
      </c>
      <c r="AB2" s="32">
        <v>29</v>
      </c>
      <c r="AC2" s="32">
        <v>6</v>
      </c>
      <c r="AD2" s="32">
        <v>13</v>
      </c>
      <c r="AE2" s="32">
        <v>20</v>
      </c>
      <c r="AF2" s="32">
        <v>27</v>
      </c>
      <c r="AG2" s="32">
        <v>3</v>
      </c>
      <c r="AH2" s="32">
        <v>10</v>
      </c>
      <c r="AI2" s="32">
        <v>17</v>
      </c>
      <c r="AJ2" s="32">
        <v>24</v>
      </c>
      <c r="AK2" s="32">
        <v>31</v>
      </c>
      <c r="AL2" s="32">
        <v>7</v>
      </c>
      <c r="AM2" s="32">
        <v>14</v>
      </c>
      <c r="AN2" s="32">
        <v>21</v>
      </c>
      <c r="AO2" s="32">
        <v>28</v>
      </c>
      <c r="AP2" s="32">
        <v>5</v>
      </c>
      <c r="AQ2" s="32">
        <v>12</v>
      </c>
      <c r="AR2" s="32">
        <v>19</v>
      </c>
      <c r="AS2" s="32">
        <v>26</v>
      </c>
      <c r="AT2" s="32">
        <v>2</v>
      </c>
      <c r="AU2" s="32">
        <v>9</v>
      </c>
      <c r="AV2" s="32">
        <v>16</v>
      </c>
      <c r="AW2" s="32">
        <v>23</v>
      </c>
      <c r="AX2" s="32">
        <v>30</v>
      </c>
      <c r="AY2" s="32">
        <v>7</v>
      </c>
      <c r="AZ2" s="32">
        <v>14</v>
      </c>
      <c r="BA2" s="33">
        <v>21</v>
      </c>
      <c r="BB2" s="332"/>
      <c r="BC2" s="327"/>
    </row>
    <row r="3" spans="1:57" ht="16.5" customHeight="1">
      <c r="A3" s="26" t="s">
        <v>25</v>
      </c>
      <c r="B3" s="17"/>
      <c r="C3" s="18"/>
      <c r="D3" s="18"/>
      <c r="E3" s="19"/>
      <c r="F3" s="20"/>
      <c r="G3" s="18"/>
      <c r="H3" s="18"/>
      <c r="I3" s="19"/>
      <c r="J3" s="20"/>
      <c r="K3" s="18"/>
      <c r="L3" s="18"/>
      <c r="M3" s="18"/>
      <c r="N3" s="19"/>
      <c r="O3" s="20"/>
      <c r="P3" s="18"/>
      <c r="Q3" s="18"/>
      <c r="R3" s="19"/>
      <c r="S3" s="20"/>
      <c r="T3" s="18"/>
      <c r="U3" s="18"/>
      <c r="V3" s="18"/>
      <c r="W3" s="19"/>
      <c r="X3" s="20"/>
      <c r="Y3" s="18"/>
      <c r="Z3" s="18"/>
      <c r="AA3" s="19"/>
      <c r="AB3" s="20"/>
      <c r="AC3" s="18"/>
      <c r="AD3" s="18"/>
      <c r="AE3" s="19"/>
      <c r="AF3" s="20"/>
      <c r="AG3" s="18"/>
      <c r="AH3" s="18"/>
      <c r="AI3" s="18"/>
      <c r="AJ3" s="19"/>
      <c r="AK3" s="20"/>
      <c r="AL3" s="18"/>
      <c r="AM3" s="18"/>
      <c r="AN3" s="19"/>
      <c r="AO3" s="20"/>
      <c r="AP3" s="18"/>
      <c r="AQ3" s="18"/>
      <c r="AR3" s="19"/>
      <c r="AS3" s="20"/>
      <c r="AT3" s="18"/>
      <c r="AU3" s="18"/>
      <c r="AV3" s="18"/>
      <c r="AW3" s="19"/>
      <c r="AX3" s="20"/>
      <c r="AY3" s="18"/>
      <c r="AZ3" s="18"/>
      <c r="BA3" s="21"/>
      <c r="BB3" s="34"/>
      <c r="BC3" s="43"/>
    </row>
    <row r="4" spans="1:57" ht="16.5" customHeight="1">
      <c r="A4" s="27" t="s">
        <v>14</v>
      </c>
      <c r="B4" s="14"/>
      <c r="C4" s="3"/>
      <c r="D4" s="3"/>
      <c r="E4" s="1"/>
      <c r="F4" s="2"/>
      <c r="G4" s="3"/>
      <c r="H4" s="3"/>
      <c r="I4" s="1"/>
      <c r="J4" s="2"/>
      <c r="K4" s="3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1"/>
      <c r="AS4" s="2"/>
      <c r="AT4" s="3"/>
      <c r="AU4" s="3"/>
      <c r="AV4" s="3"/>
      <c r="AW4" s="1"/>
      <c r="AX4" s="2"/>
      <c r="AY4" s="3"/>
      <c r="AZ4" s="3"/>
      <c r="BA4" s="4"/>
      <c r="BB4" s="35"/>
      <c r="BC4" s="44"/>
    </row>
    <row r="5" spans="1:57" s="285" customFormat="1">
      <c r="A5" s="284" t="s">
        <v>71</v>
      </c>
      <c r="B5" s="289"/>
      <c r="C5" s="289"/>
      <c r="D5" s="289"/>
      <c r="E5" s="298"/>
      <c r="F5" s="323">
        <v>169</v>
      </c>
      <c r="G5" s="324"/>
      <c r="H5" s="324"/>
      <c r="I5" s="325"/>
      <c r="J5" s="297">
        <v>345</v>
      </c>
      <c r="K5" s="289"/>
      <c r="L5" s="289"/>
      <c r="M5" s="289"/>
      <c r="N5" s="298"/>
      <c r="O5" s="297">
        <v>280</v>
      </c>
      <c r="P5" s="289"/>
      <c r="Q5" s="289"/>
      <c r="R5" s="298"/>
      <c r="S5" s="297">
        <v>296</v>
      </c>
      <c r="T5" s="289"/>
      <c r="U5" s="289"/>
      <c r="V5" s="289"/>
      <c r="W5" s="298"/>
      <c r="X5" s="297"/>
      <c r="Y5" s="289"/>
      <c r="Z5" s="289"/>
      <c r="AA5" s="298"/>
      <c r="AB5" s="297"/>
      <c r="AC5" s="289"/>
      <c r="AD5" s="289"/>
      <c r="AE5" s="298"/>
      <c r="AF5" s="297">
        <v>330</v>
      </c>
      <c r="AG5" s="289"/>
      <c r="AH5" s="289"/>
      <c r="AI5" s="289"/>
      <c r="AJ5" s="298"/>
      <c r="AK5" s="297">
        <v>347</v>
      </c>
      <c r="AL5" s="289"/>
      <c r="AM5" s="289"/>
      <c r="AN5" s="298"/>
      <c r="AO5" s="289">
        <v>103</v>
      </c>
      <c r="AP5" s="289"/>
      <c r="AQ5" s="289"/>
      <c r="AR5" s="298"/>
      <c r="AS5" s="297"/>
      <c r="AT5" s="289"/>
      <c r="AU5" s="289"/>
      <c r="AV5" s="289"/>
      <c r="AW5" s="298"/>
      <c r="AX5" s="289"/>
      <c r="AY5" s="289"/>
      <c r="AZ5" s="289"/>
      <c r="BA5" s="290"/>
      <c r="BB5" s="189">
        <f>SUM(C5:AW5)</f>
        <v>1870</v>
      </c>
      <c r="BC5" s="190"/>
    </row>
    <row r="6" spans="1:57" ht="16.5" customHeight="1">
      <c r="A6" s="49" t="s">
        <v>23</v>
      </c>
      <c r="B6" s="311"/>
      <c r="C6" s="311"/>
      <c r="D6" s="311"/>
      <c r="E6" s="312"/>
      <c r="F6" s="310">
        <f>1388.573*1000</f>
        <v>1388573</v>
      </c>
      <c r="G6" s="311"/>
      <c r="H6" s="311"/>
      <c r="I6" s="312"/>
      <c r="J6" s="310">
        <f>2990.33*1000</f>
        <v>2990330</v>
      </c>
      <c r="K6" s="311"/>
      <c r="L6" s="311"/>
      <c r="M6" s="311"/>
      <c r="N6" s="312"/>
      <c r="O6" s="310">
        <f>(850681+815268+829842+3679)</f>
        <v>2499470</v>
      </c>
      <c r="P6" s="311"/>
      <c r="Q6" s="311"/>
      <c r="R6" s="312"/>
      <c r="S6" s="310">
        <f>(923897+885222+1020276)</f>
        <v>2829395</v>
      </c>
      <c r="T6" s="311"/>
      <c r="U6" s="311"/>
      <c r="V6" s="311"/>
      <c r="W6" s="312"/>
      <c r="X6" s="310"/>
      <c r="Y6" s="311"/>
      <c r="Z6" s="311"/>
      <c r="AA6" s="312"/>
      <c r="AB6" s="310"/>
      <c r="AC6" s="311"/>
      <c r="AD6" s="311"/>
      <c r="AE6" s="312"/>
      <c r="AF6" s="310">
        <f>(640594+748697+724000+737718)</f>
        <v>2851009</v>
      </c>
      <c r="AG6" s="311"/>
      <c r="AH6" s="311"/>
      <c r="AI6" s="311"/>
      <c r="AJ6" s="312"/>
      <c r="AK6" s="310">
        <f>(767672+661084+860205+935157)</f>
        <v>3224118</v>
      </c>
      <c r="AL6" s="311"/>
      <c r="AM6" s="311"/>
      <c r="AN6" s="312"/>
      <c r="AO6" s="310">
        <f>1105763</f>
        <v>1105763</v>
      </c>
      <c r="AP6" s="311"/>
      <c r="AQ6" s="311"/>
      <c r="AR6" s="312"/>
      <c r="AS6" s="310"/>
      <c r="AT6" s="311"/>
      <c r="AU6" s="311"/>
      <c r="AV6" s="311"/>
      <c r="AW6" s="312"/>
      <c r="AX6" s="313"/>
      <c r="AY6" s="314"/>
      <c r="AZ6" s="314"/>
      <c r="BA6" s="314"/>
      <c r="BB6" s="36"/>
      <c r="BC6" s="45">
        <f>SUM(B6:BA6)</f>
        <v>16888658</v>
      </c>
      <c r="BD6" s="57"/>
      <c r="BE6" s="12"/>
    </row>
    <row r="7" spans="1:57" ht="16.5" customHeight="1">
      <c r="A7" s="29"/>
      <c r="B7" s="15"/>
      <c r="C7" s="6"/>
      <c r="D7" s="6"/>
      <c r="E7" s="7"/>
      <c r="F7" s="5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7"/>
      <c r="AF7" s="5"/>
      <c r="AG7" s="6"/>
      <c r="AH7" s="6"/>
      <c r="AI7" s="6"/>
      <c r="AJ7" s="7"/>
      <c r="AK7" s="5"/>
      <c r="AL7" s="6"/>
      <c r="AM7" s="6"/>
      <c r="AN7" s="7"/>
      <c r="AO7" s="5"/>
      <c r="AP7" s="6"/>
      <c r="AQ7" s="6"/>
      <c r="AR7" s="7"/>
      <c r="AS7" s="5"/>
      <c r="AT7" s="6"/>
      <c r="AU7" s="6"/>
      <c r="AV7" s="6"/>
      <c r="AW7" s="7"/>
      <c r="AX7" s="2"/>
      <c r="AY7" s="3"/>
      <c r="AZ7" s="3"/>
      <c r="BA7" s="4"/>
      <c r="BB7" s="37"/>
      <c r="BC7" s="46"/>
    </row>
    <row r="8" spans="1:57" ht="16.5" customHeight="1">
      <c r="A8" s="27" t="s">
        <v>18</v>
      </c>
      <c r="B8" s="15"/>
      <c r="C8" s="6"/>
      <c r="D8" s="6"/>
      <c r="E8" s="7"/>
      <c r="F8" s="5"/>
      <c r="G8" s="6"/>
      <c r="H8" s="6"/>
      <c r="I8" s="7"/>
      <c r="J8" s="5"/>
      <c r="K8" s="6"/>
      <c r="L8" s="6"/>
      <c r="M8" s="6"/>
      <c r="N8" s="7"/>
      <c r="O8" s="5"/>
      <c r="P8" s="6"/>
      <c r="Q8" s="6"/>
      <c r="R8" s="7"/>
      <c r="S8" s="5"/>
      <c r="T8" s="6"/>
      <c r="U8" s="6"/>
      <c r="V8" s="6"/>
      <c r="W8" s="7"/>
      <c r="X8" s="5"/>
      <c r="Y8" s="6"/>
      <c r="Z8" s="6"/>
      <c r="AA8" s="7"/>
      <c r="AB8" s="5"/>
      <c r="AC8" s="6"/>
      <c r="AD8" s="6"/>
      <c r="AE8" s="7"/>
      <c r="AF8" s="5"/>
      <c r="AG8" s="6"/>
      <c r="AH8" s="6"/>
      <c r="AI8" s="6"/>
      <c r="AJ8" s="7"/>
      <c r="AK8" s="5"/>
      <c r="AL8" s="6"/>
      <c r="AM8" s="6"/>
      <c r="AN8" s="7"/>
      <c r="AO8" s="5"/>
      <c r="AP8" s="6"/>
      <c r="AQ8" s="6"/>
      <c r="AR8" s="7"/>
      <c r="AS8" s="5"/>
      <c r="AT8" s="6"/>
      <c r="AU8" s="6"/>
      <c r="AV8" s="6"/>
      <c r="AW8" s="7"/>
      <c r="AX8" s="2"/>
      <c r="AY8" s="3"/>
      <c r="AZ8" s="3"/>
      <c r="BA8" s="4"/>
      <c r="BB8" s="35"/>
      <c r="BC8" s="44"/>
    </row>
    <row r="9" spans="1:57" s="285" customFormat="1">
      <c r="A9" s="284" t="s">
        <v>71</v>
      </c>
      <c r="B9" s="289"/>
      <c r="C9" s="289"/>
      <c r="D9" s="289"/>
      <c r="E9" s="298"/>
      <c r="F9" s="323">
        <v>104</v>
      </c>
      <c r="G9" s="324"/>
      <c r="H9" s="324"/>
      <c r="I9" s="325"/>
      <c r="J9" s="297">
        <v>212</v>
      </c>
      <c r="K9" s="289"/>
      <c r="L9" s="289"/>
      <c r="M9" s="289"/>
      <c r="N9" s="298"/>
      <c r="O9" s="297">
        <v>175</v>
      </c>
      <c r="P9" s="289"/>
      <c r="Q9" s="289"/>
      <c r="R9" s="298"/>
      <c r="S9" s="297">
        <v>129</v>
      </c>
      <c r="T9" s="289"/>
      <c r="U9" s="289"/>
      <c r="V9" s="289"/>
      <c r="W9" s="298"/>
      <c r="X9" s="297"/>
      <c r="Y9" s="289"/>
      <c r="Z9" s="289"/>
      <c r="AA9" s="298"/>
      <c r="AB9" s="297"/>
      <c r="AC9" s="289"/>
      <c r="AD9" s="289"/>
      <c r="AE9" s="298"/>
      <c r="AF9" s="297">
        <v>65</v>
      </c>
      <c r="AG9" s="289"/>
      <c r="AH9" s="289"/>
      <c r="AI9" s="289"/>
      <c r="AJ9" s="298"/>
      <c r="AK9" s="297">
        <v>45</v>
      </c>
      <c r="AL9" s="289"/>
      <c r="AM9" s="289"/>
      <c r="AN9" s="298"/>
      <c r="AO9" s="289">
        <v>28</v>
      </c>
      <c r="AP9" s="289"/>
      <c r="AQ9" s="289"/>
      <c r="AR9" s="298"/>
      <c r="AS9" s="297">
        <v>4</v>
      </c>
      <c r="AT9" s="289"/>
      <c r="AU9" s="289"/>
      <c r="AV9" s="289"/>
      <c r="AW9" s="298"/>
      <c r="AX9" s="289"/>
      <c r="AY9" s="289"/>
      <c r="AZ9" s="289"/>
      <c r="BA9" s="290"/>
      <c r="BB9" s="189">
        <f>SUM(D9:AW9)</f>
        <v>762</v>
      </c>
      <c r="BC9" s="190"/>
    </row>
    <row r="10" spans="1:57" ht="16.5" customHeight="1">
      <c r="A10" s="49" t="s">
        <v>72</v>
      </c>
      <c r="B10" s="311"/>
      <c r="C10" s="311"/>
      <c r="D10" s="311"/>
      <c r="E10" s="312"/>
      <c r="F10" s="310">
        <f>2886.6*1000</f>
        <v>2886600</v>
      </c>
      <c r="G10" s="311"/>
      <c r="H10" s="311"/>
      <c r="I10" s="312"/>
      <c r="J10" s="310">
        <f>5949.5*1000</f>
        <v>5949500</v>
      </c>
      <c r="K10" s="311"/>
      <c r="L10" s="311"/>
      <c r="M10" s="311"/>
      <c r="N10" s="312"/>
      <c r="O10" s="310">
        <f>(1972100+2123700+1890400+401300)</f>
        <v>6387500</v>
      </c>
      <c r="P10" s="311"/>
      <c r="Q10" s="311"/>
      <c r="R10" s="312"/>
      <c r="S10" s="310">
        <f>4875.7*1000</f>
        <v>4875700</v>
      </c>
      <c r="T10" s="311"/>
      <c r="U10" s="311"/>
      <c r="V10" s="311"/>
      <c r="W10" s="312"/>
      <c r="X10" s="310"/>
      <c r="Y10" s="311"/>
      <c r="Z10" s="311"/>
      <c r="AA10" s="312"/>
      <c r="AB10" s="310"/>
      <c r="AC10" s="311"/>
      <c r="AD10" s="311"/>
      <c r="AE10" s="312"/>
      <c r="AF10" s="310">
        <f>(261900+231800+288100+224500)</f>
        <v>1006300</v>
      </c>
      <c r="AG10" s="311"/>
      <c r="AH10" s="311"/>
      <c r="AI10" s="311"/>
      <c r="AJ10" s="312"/>
      <c r="AK10" s="310">
        <f>(182900+204000+170400+352400)</f>
        <v>909700</v>
      </c>
      <c r="AL10" s="311"/>
      <c r="AM10" s="311"/>
      <c r="AN10" s="312"/>
      <c r="AO10" s="310">
        <f>(304200+36400+191200)</f>
        <v>531800</v>
      </c>
      <c r="AP10" s="311"/>
      <c r="AQ10" s="311"/>
      <c r="AR10" s="312"/>
      <c r="AS10" s="310">
        <f>55700</f>
        <v>55700</v>
      </c>
      <c r="AT10" s="311"/>
      <c r="AU10" s="311"/>
      <c r="AV10" s="311"/>
      <c r="AW10" s="312"/>
      <c r="AX10" s="313"/>
      <c r="AY10" s="314"/>
      <c r="AZ10" s="314"/>
      <c r="BA10" s="314"/>
      <c r="BB10" s="38"/>
      <c r="BC10" s="45">
        <f>SUM(B10:BA10)</f>
        <v>22602800</v>
      </c>
      <c r="BD10" s="57"/>
      <c r="BE10" s="12"/>
    </row>
    <row r="11" spans="1:57" ht="16.5" customHeight="1">
      <c r="A11" s="29"/>
      <c r="B11" s="15"/>
      <c r="C11" s="6"/>
      <c r="D11" s="6"/>
      <c r="E11" s="7"/>
      <c r="F11" s="5"/>
      <c r="G11" s="6"/>
      <c r="H11" s="6"/>
      <c r="I11" s="7"/>
      <c r="J11" s="5"/>
      <c r="K11" s="6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7"/>
      <c r="AF11" s="5"/>
      <c r="AG11" s="6"/>
      <c r="AH11" s="6"/>
      <c r="AI11" s="6"/>
      <c r="AJ11" s="7"/>
      <c r="AK11" s="5"/>
      <c r="AL11" s="6"/>
      <c r="AM11" s="6"/>
      <c r="AN11" s="7"/>
      <c r="AO11" s="5"/>
      <c r="AP11" s="6"/>
      <c r="AQ11" s="6"/>
      <c r="AR11" s="7"/>
      <c r="AS11" s="5"/>
      <c r="AT11" s="6"/>
      <c r="AU11" s="6"/>
      <c r="AV11" s="6"/>
      <c r="AW11" s="7"/>
      <c r="AX11" s="2"/>
      <c r="AY11" s="3"/>
      <c r="AZ11" s="3"/>
      <c r="BA11" s="4"/>
      <c r="BB11" s="37"/>
      <c r="BC11" s="46"/>
    </row>
    <row r="12" spans="1:57" ht="16.5" customHeight="1">
      <c r="A12" s="27" t="s">
        <v>19</v>
      </c>
      <c r="B12" s="15"/>
      <c r="C12" s="6"/>
      <c r="D12" s="6"/>
      <c r="E12" s="7"/>
      <c r="F12" s="5"/>
      <c r="G12" s="6"/>
      <c r="H12" s="6"/>
      <c r="I12" s="7"/>
      <c r="J12" s="5"/>
      <c r="K12" s="6"/>
      <c r="L12" s="6"/>
      <c r="M12" s="6"/>
      <c r="N12" s="7"/>
      <c r="O12" s="5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7"/>
      <c r="AB12" s="5"/>
      <c r="AC12" s="6"/>
      <c r="AD12" s="6"/>
      <c r="AE12" s="7"/>
      <c r="AF12" s="5"/>
      <c r="AG12" s="6"/>
      <c r="AH12" s="6"/>
      <c r="AI12" s="6"/>
      <c r="AJ12" s="7"/>
      <c r="AK12" s="5"/>
      <c r="AL12" s="6"/>
      <c r="AM12" s="6"/>
      <c r="AN12" s="7"/>
      <c r="AO12" s="5"/>
      <c r="AP12" s="6"/>
      <c r="AQ12" s="6"/>
      <c r="AR12" s="7"/>
      <c r="AS12" s="5"/>
      <c r="AT12" s="6"/>
      <c r="AU12" s="6"/>
      <c r="AV12" s="6"/>
      <c r="AW12" s="7"/>
      <c r="AX12" s="2"/>
      <c r="AY12" s="3"/>
      <c r="AZ12" s="3"/>
      <c r="BA12" s="4"/>
      <c r="BB12" s="35"/>
      <c r="BC12" s="44"/>
    </row>
    <row r="13" spans="1:57" s="285" customFormat="1">
      <c r="A13" s="284" t="s">
        <v>71</v>
      </c>
      <c r="B13" s="289"/>
      <c r="C13" s="289"/>
      <c r="D13" s="289"/>
      <c r="E13" s="298"/>
      <c r="F13" s="323">
        <v>15</v>
      </c>
      <c r="G13" s="324"/>
      <c r="H13" s="324"/>
      <c r="I13" s="325"/>
      <c r="J13" s="297">
        <v>29</v>
      </c>
      <c r="K13" s="289"/>
      <c r="L13" s="289"/>
      <c r="M13" s="289"/>
      <c r="N13" s="298"/>
      <c r="O13" s="297">
        <v>11</v>
      </c>
      <c r="P13" s="289"/>
      <c r="Q13" s="289"/>
      <c r="R13" s="298"/>
      <c r="S13" s="297">
        <v>7</v>
      </c>
      <c r="T13" s="289"/>
      <c r="U13" s="289"/>
      <c r="V13" s="289"/>
      <c r="W13" s="298"/>
      <c r="X13" s="297"/>
      <c r="Y13" s="289"/>
      <c r="Z13" s="289"/>
      <c r="AA13" s="298"/>
      <c r="AB13" s="297"/>
      <c r="AC13" s="289"/>
      <c r="AD13" s="289"/>
      <c r="AE13" s="298"/>
      <c r="AF13" s="297">
        <v>9</v>
      </c>
      <c r="AG13" s="289"/>
      <c r="AH13" s="289"/>
      <c r="AI13" s="289"/>
      <c r="AJ13" s="298"/>
      <c r="AK13" s="297">
        <v>4</v>
      </c>
      <c r="AL13" s="289"/>
      <c r="AM13" s="289"/>
      <c r="AN13" s="298"/>
      <c r="AO13" s="289"/>
      <c r="AP13" s="289"/>
      <c r="AQ13" s="289"/>
      <c r="AR13" s="298"/>
      <c r="AS13" s="297"/>
      <c r="AT13" s="289"/>
      <c r="AU13" s="289"/>
      <c r="AV13" s="289"/>
      <c r="AW13" s="298"/>
      <c r="AX13" s="289"/>
      <c r="AY13" s="289"/>
      <c r="AZ13" s="289"/>
      <c r="BA13" s="290"/>
      <c r="BB13" s="189">
        <f>SUM(B13:AW13)</f>
        <v>75</v>
      </c>
      <c r="BC13" s="190"/>
    </row>
    <row r="14" spans="1:57" ht="16.5" customHeight="1">
      <c r="A14" s="49" t="s">
        <v>73</v>
      </c>
      <c r="B14" s="311"/>
      <c r="C14" s="311"/>
      <c r="D14" s="311"/>
      <c r="E14" s="312"/>
      <c r="F14" s="310">
        <f>175.489*1000</f>
        <v>175489</v>
      </c>
      <c r="G14" s="311"/>
      <c r="H14" s="311"/>
      <c r="I14" s="312"/>
      <c r="J14" s="310">
        <f>340.639*1000</f>
        <v>340639</v>
      </c>
      <c r="K14" s="311"/>
      <c r="L14" s="311"/>
      <c r="M14" s="311"/>
      <c r="N14" s="312"/>
      <c r="O14" s="310">
        <f>(40242+27939+39720+74576)</f>
        <v>182477</v>
      </c>
      <c r="P14" s="311"/>
      <c r="Q14" s="311"/>
      <c r="R14" s="312"/>
      <c r="S14" s="310">
        <f>133.568*1000</f>
        <v>133568</v>
      </c>
      <c r="T14" s="311"/>
      <c r="U14" s="311"/>
      <c r="V14" s="311"/>
      <c r="W14" s="312"/>
      <c r="X14" s="310">
        <f>34</f>
        <v>34</v>
      </c>
      <c r="Y14" s="311"/>
      <c r="Z14" s="311"/>
      <c r="AA14" s="312"/>
      <c r="AB14" s="310"/>
      <c r="AC14" s="311"/>
      <c r="AD14" s="311"/>
      <c r="AE14" s="312"/>
      <c r="AF14" s="310">
        <f>(7839+52733+49694+62799)</f>
        <v>173065</v>
      </c>
      <c r="AG14" s="311"/>
      <c r="AH14" s="311"/>
      <c r="AI14" s="311"/>
      <c r="AJ14" s="312"/>
      <c r="AK14" s="310">
        <f>(64019+5614+6232+2566)</f>
        <v>78431</v>
      </c>
      <c r="AL14" s="311"/>
      <c r="AM14" s="311"/>
      <c r="AN14" s="312"/>
      <c r="AO14" s="310">
        <f>(5432+619+96+193)</f>
        <v>6340</v>
      </c>
      <c r="AP14" s="311"/>
      <c r="AQ14" s="311"/>
      <c r="AR14" s="312"/>
      <c r="AS14" s="310">
        <f>(1573+29)</f>
        <v>1602</v>
      </c>
      <c r="AT14" s="311"/>
      <c r="AU14" s="311"/>
      <c r="AV14" s="311"/>
      <c r="AW14" s="312"/>
      <c r="AX14" s="313"/>
      <c r="AY14" s="314"/>
      <c r="AZ14" s="314"/>
      <c r="BA14" s="314"/>
      <c r="BB14" s="39"/>
      <c r="BC14" s="45">
        <f>SUM(B14:BA14)</f>
        <v>1091645</v>
      </c>
      <c r="BD14" s="57"/>
      <c r="BE14" s="12"/>
    </row>
    <row r="15" spans="1:57" ht="16.5" customHeight="1">
      <c r="A15" s="29"/>
      <c r="B15" s="15"/>
      <c r="C15" s="6"/>
      <c r="D15" s="6"/>
      <c r="E15" s="7"/>
      <c r="F15" s="5"/>
      <c r="G15" s="6"/>
      <c r="H15" s="6"/>
      <c r="I15" s="7"/>
      <c r="J15" s="5"/>
      <c r="K15" s="6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7"/>
      <c r="AF15" s="5"/>
      <c r="AG15" s="6"/>
      <c r="AH15" s="6"/>
      <c r="AI15" s="6"/>
      <c r="AJ15" s="7"/>
      <c r="AK15" s="5"/>
      <c r="AL15" s="6"/>
      <c r="AM15" s="6"/>
      <c r="AN15" s="7"/>
      <c r="AO15" s="5"/>
      <c r="AP15" s="6"/>
      <c r="AQ15" s="6"/>
      <c r="AR15" s="7"/>
      <c r="AS15" s="5"/>
      <c r="AT15" s="6"/>
      <c r="AU15" s="6"/>
      <c r="AV15" s="6"/>
      <c r="AW15" s="7"/>
      <c r="AX15" s="2"/>
      <c r="AY15" s="3"/>
      <c r="AZ15" s="3"/>
      <c r="BA15" s="4"/>
      <c r="BB15" s="37"/>
      <c r="BC15" s="46"/>
    </row>
    <row r="16" spans="1:57">
      <c r="A16" s="27" t="s">
        <v>20</v>
      </c>
      <c r="B16" s="15"/>
      <c r="C16" s="6"/>
      <c r="D16" s="6"/>
      <c r="E16" s="7"/>
      <c r="F16" s="5"/>
      <c r="G16" s="6"/>
      <c r="H16" s="6"/>
      <c r="I16" s="7"/>
      <c r="J16" s="5"/>
      <c r="K16" s="6"/>
      <c r="L16" s="6"/>
      <c r="M16" s="6"/>
      <c r="N16" s="7"/>
      <c r="O16" s="5"/>
      <c r="P16" s="6"/>
      <c r="Q16" s="6"/>
      <c r="R16" s="7"/>
      <c r="S16" s="5"/>
      <c r="T16" s="6"/>
      <c r="U16" s="6"/>
      <c r="V16" s="6"/>
      <c r="W16" s="7"/>
      <c r="X16" s="5"/>
      <c r="Y16" s="6"/>
      <c r="Z16" s="6"/>
      <c r="AA16" s="7"/>
      <c r="AB16" s="5"/>
      <c r="AC16" s="6"/>
      <c r="AD16" s="6"/>
      <c r="AE16" s="7"/>
      <c r="AF16" s="5"/>
      <c r="AG16" s="6"/>
      <c r="AH16" s="6"/>
      <c r="AI16" s="6"/>
      <c r="AJ16" s="7"/>
      <c r="AK16" s="5"/>
      <c r="AL16" s="6"/>
      <c r="AM16" s="6"/>
      <c r="AN16" s="7"/>
      <c r="AO16" s="5"/>
      <c r="AP16" s="6"/>
      <c r="AQ16" s="6"/>
      <c r="AR16" s="7"/>
      <c r="AS16" s="5"/>
      <c r="AT16" s="6"/>
      <c r="AU16" s="6"/>
      <c r="AV16" s="6"/>
      <c r="AW16" s="7"/>
      <c r="AX16" s="2"/>
      <c r="AY16" s="3"/>
      <c r="AZ16" s="3"/>
      <c r="BA16" s="4"/>
      <c r="BB16" s="35"/>
      <c r="BC16" s="44"/>
    </row>
    <row r="17" spans="1:57" s="285" customFormat="1">
      <c r="A17" s="284" t="s">
        <v>71</v>
      </c>
      <c r="B17" s="289"/>
      <c r="C17" s="289"/>
      <c r="D17" s="289"/>
      <c r="E17" s="298"/>
      <c r="F17" s="323"/>
      <c r="G17" s="324"/>
      <c r="H17" s="324"/>
      <c r="I17" s="325"/>
      <c r="J17" s="297">
        <v>72</v>
      </c>
      <c r="K17" s="289"/>
      <c r="L17" s="289"/>
      <c r="M17" s="289"/>
      <c r="N17" s="298"/>
      <c r="O17" s="297">
        <v>46</v>
      </c>
      <c r="P17" s="289"/>
      <c r="Q17" s="289"/>
      <c r="R17" s="298"/>
      <c r="S17" s="297">
        <v>82</v>
      </c>
      <c r="T17" s="289"/>
      <c r="U17" s="289"/>
      <c r="V17" s="289"/>
      <c r="W17" s="298"/>
      <c r="X17" s="297"/>
      <c r="Y17" s="289"/>
      <c r="Z17" s="289"/>
      <c r="AA17" s="298"/>
      <c r="AB17" s="297"/>
      <c r="AC17" s="289"/>
      <c r="AD17" s="289"/>
      <c r="AE17" s="298"/>
      <c r="AF17" s="297">
        <v>39</v>
      </c>
      <c r="AG17" s="289"/>
      <c r="AH17" s="289"/>
      <c r="AI17" s="289"/>
      <c r="AJ17" s="298"/>
      <c r="AK17" s="297">
        <v>32</v>
      </c>
      <c r="AL17" s="289"/>
      <c r="AM17" s="289"/>
      <c r="AN17" s="298"/>
      <c r="AO17" s="289">
        <v>15</v>
      </c>
      <c r="AP17" s="289"/>
      <c r="AQ17" s="289"/>
      <c r="AR17" s="298"/>
      <c r="AS17" s="297"/>
      <c r="AT17" s="289"/>
      <c r="AU17" s="289"/>
      <c r="AV17" s="289"/>
      <c r="AW17" s="298"/>
      <c r="AX17" s="289"/>
      <c r="AY17" s="289"/>
      <c r="AZ17" s="289"/>
      <c r="BA17" s="290"/>
      <c r="BB17" s="189">
        <f>SUM(F17:AV17)</f>
        <v>286</v>
      </c>
      <c r="BC17" s="190"/>
    </row>
    <row r="18" spans="1:57" ht="13.5" thickBot="1">
      <c r="A18" s="49" t="s">
        <v>72</v>
      </c>
      <c r="B18" s="338"/>
      <c r="C18" s="339"/>
      <c r="D18" s="339"/>
      <c r="E18" s="340"/>
      <c r="F18" s="320"/>
      <c r="G18" s="321"/>
      <c r="H18" s="321"/>
      <c r="I18" s="322"/>
      <c r="J18" s="320">
        <f>1335.712*1000</f>
        <v>1335712</v>
      </c>
      <c r="K18" s="321"/>
      <c r="L18" s="321"/>
      <c r="M18" s="321"/>
      <c r="N18" s="322"/>
      <c r="O18" s="320">
        <f>(291079+226493+234944+16925)</f>
        <v>769441</v>
      </c>
      <c r="P18" s="321"/>
      <c r="Q18" s="321"/>
      <c r="R18" s="322"/>
      <c r="S18" s="320">
        <f>(343866+476778+415610)</f>
        <v>1236254</v>
      </c>
      <c r="T18" s="321"/>
      <c r="U18" s="321"/>
      <c r="V18" s="321"/>
      <c r="W18" s="322"/>
      <c r="X18" s="320"/>
      <c r="Y18" s="321"/>
      <c r="Z18" s="321"/>
      <c r="AA18" s="322"/>
      <c r="AB18" s="320"/>
      <c r="AC18" s="321"/>
      <c r="AD18" s="321"/>
      <c r="AE18" s="322"/>
      <c r="AF18" s="320">
        <f>(274387+96627+149407+277149)</f>
        <v>797570</v>
      </c>
      <c r="AG18" s="321"/>
      <c r="AH18" s="321"/>
      <c r="AI18" s="321"/>
      <c r="AJ18" s="322"/>
      <c r="AK18" s="320">
        <f>(154841+134493+142805+136433)</f>
        <v>568572</v>
      </c>
      <c r="AL18" s="321"/>
      <c r="AM18" s="321"/>
      <c r="AN18" s="322"/>
      <c r="AO18" s="320">
        <f>(288607+16382)</f>
        <v>304989</v>
      </c>
      <c r="AP18" s="321"/>
      <c r="AQ18" s="321"/>
      <c r="AR18" s="322"/>
      <c r="AS18" s="320"/>
      <c r="AT18" s="321"/>
      <c r="AU18" s="321"/>
      <c r="AV18" s="321"/>
      <c r="AW18" s="322"/>
      <c r="AX18" s="342"/>
      <c r="AY18" s="343"/>
      <c r="AZ18" s="343"/>
      <c r="BA18" s="344"/>
      <c r="BB18" s="56"/>
      <c r="BC18" s="45">
        <f>SUM(B18:BA18)</f>
        <v>5012538</v>
      </c>
      <c r="BD18" s="57"/>
      <c r="BE18" s="12"/>
    </row>
    <row r="19" spans="1:57" ht="16.5" customHeight="1">
      <c r="A19" s="50" t="s">
        <v>26</v>
      </c>
      <c r="B19" s="22"/>
      <c r="C19" s="23"/>
      <c r="D19" s="23"/>
      <c r="E19" s="24"/>
      <c r="F19" s="25"/>
      <c r="G19" s="23"/>
      <c r="H19" s="23"/>
      <c r="I19" s="24"/>
      <c r="J19" s="25"/>
      <c r="K19" s="23"/>
      <c r="L19" s="23"/>
      <c r="M19" s="23"/>
      <c r="N19" s="24"/>
      <c r="O19" s="25"/>
      <c r="P19" s="23"/>
      <c r="Q19" s="23"/>
      <c r="R19" s="24"/>
      <c r="S19" s="25"/>
      <c r="T19" s="23"/>
      <c r="U19" s="23"/>
      <c r="V19" s="23"/>
      <c r="W19" s="24"/>
      <c r="X19" s="25"/>
      <c r="Y19" s="23"/>
      <c r="Z19" s="23"/>
      <c r="AA19" s="24"/>
      <c r="AB19" s="25"/>
      <c r="AC19" s="23"/>
      <c r="AD19" s="23"/>
      <c r="AE19" s="24"/>
      <c r="AF19" s="25"/>
      <c r="AG19" s="23"/>
      <c r="AH19" s="23"/>
      <c r="AI19" s="23"/>
      <c r="AJ19" s="24"/>
      <c r="AK19" s="25"/>
      <c r="AL19" s="23"/>
      <c r="AM19" s="23"/>
      <c r="AN19" s="24"/>
      <c r="AO19" s="25"/>
      <c r="AP19" s="23"/>
      <c r="AQ19" s="23"/>
      <c r="AR19" s="24"/>
      <c r="AS19" s="25"/>
      <c r="AT19" s="23"/>
      <c r="AU19" s="23"/>
      <c r="AV19" s="23"/>
      <c r="AW19" s="24"/>
      <c r="AX19" s="20"/>
      <c r="AY19" s="18"/>
      <c r="AZ19" s="18"/>
      <c r="BA19" s="21"/>
      <c r="BB19" s="34"/>
      <c r="BC19" s="43"/>
    </row>
    <row r="20" spans="1:57" ht="16.5" customHeight="1">
      <c r="A20" s="27" t="s">
        <v>17</v>
      </c>
      <c r="B20" s="15"/>
      <c r="C20" s="6"/>
      <c r="D20" s="6"/>
      <c r="E20" s="7"/>
      <c r="F20" s="5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7"/>
      <c r="S20" s="5"/>
      <c r="T20" s="6"/>
      <c r="U20" s="6"/>
      <c r="V20" s="6"/>
      <c r="W20" s="7"/>
      <c r="X20" s="5"/>
      <c r="Y20" s="6"/>
      <c r="Z20" s="6"/>
      <c r="AA20" s="7"/>
      <c r="AB20" s="5"/>
      <c r="AC20" s="6"/>
      <c r="AD20" s="6"/>
      <c r="AE20" s="7"/>
      <c r="AF20" s="5"/>
      <c r="AG20" s="6"/>
      <c r="AH20" s="6"/>
      <c r="AI20" s="6"/>
      <c r="AJ20" s="7"/>
      <c r="AK20" s="5"/>
      <c r="AL20" s="6"/>
      <c r="AM20" s="6"/>
      <c r="AN20" s="7"/>
      <c r="AO20" s="5"/>
      <c r="AP20" s="6"/>
      <c r="AQ20" s="6"/>
      <c r="AR20" s="7"/>
      <c r="AS20" s="5"/>
      <c r="AT20" s="6"/>
      <c r="AU20" s="6"/>
      <c r="AV20" s="6"/>
      <c r="AW20" s="7"/>
      <c r="AX20" s="2"/>
      <c r="AY20" s="3"/>
      <c r="AZ20" s="3"/>
      <c r="BA20" s="4"/>
      <c r="BB20" s="35"/>
      <c r="BC20" s="44"/>
    </row>
    <row r="21" spans="1:57" ht="16.5" customHeight="1">
      <c r="A21" s="49" t="s">
        <v>72</v>
      </c>
      <c r="B21" s="311"/>
      <c r="C21" s="311"/>
      <c r="D21" s="311"/>
      <c r="E21" s="312"/>
      <c r="F21" s="310"/>
      <c r="G21" s="311"/>
      <c r="H21" s="311"/>
      <c r="I21" s="312"/>
      <c r="J21" s="310"/>
      <c r="K21" s="311"/>
      <c r="L21" s="311"/>
      <c r="M21" s="311"/>
      <c r="N21" s="312"/>
      <c r="O21" s="310"/>
      <c r="P21" s="311"/>
      <c r="Q21" s="311"/>
      <c r="R21" s="312"/>
      <c r="S21" s="310">
        <f>290283</f>
        <v>290283</v>
      </c>
      <c r="T21" s="311"/>
      <c r="U21" s="311"/>
      <c r="V21" s="311"/>
      <c r="W21" s="312"/>
      <c r="X21" s="310"/>
      <c r="Y21" s="311"/>
      <c r="Z21" s="311"/>
      <c r="AA21" s="312"/>
      <c r="AB21" s="310"/>
      <c r="AC21" s="311"/>
      <c r="AD21" s="311"/>
      <c r="AE21" s="312"/>
      <c r="AF21" s="310"/>
      <c r="AG21" s="311"/>
      <c r="AH21" s="311"/>
      <c r="AI21" s="311"/>
      <c r="AJ21" s="312"/>
      <c r="AK21" s="310"/>
      <c r="AL21" s="311"/>
      <c r="AM21" s="311"/>
      <c r="AN21" s="312"/>
      <c r="AO21" s="310"/>
      <c r="AP21" s="311"/>
      <c r="AQ21" s="311"/>
      <c r="AR21" s="312"/>
      <c r="AS21" s="310"/>
      <c r="AT21" s="311"/>
      <c r="AU21" s="311"/>
      <c r="AV21" s="311"/>
      <c r="AW21" s="312"/>
      <c r="AX21" s="313"/>
      <c r="AY21" s="314"/>
      <c r="AZ21" s="314"/>
      <c r="BA21" s="314"/>
      <c r="BB21" s="40"/>
      <c r="BC21" s="45">
        <f>SUM(B21:BA21)</f>
        <v>290283</v>
      </c>
      <c r="BD21" s="57"/>
      <c r="BE21" s="12"/>
    </row>
    <row r="22" spans="1:57" ht="16.5" customHeight="1">
      <c r="A22" s="30"/>
      <c r="B22" s="15"/>
      <c r="C22" s="6"/>
      <c r="D22" s="6"/>
      <c r="E22" s="7"/>
      <c r="F22" s="5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7"/>
      <c r="S22" s="5"/>
      <c r="T22" s="6"/>
      <c r="U22" s="6"/>
      <c r="V22" s="6"/>
      <c r="W22" s="7"/>
      <c r="X22" s="5"/>
      <c r="Y22" s="6"/>
      <c r="Z22" s="6"/>
      <c r="AA22" s="7"/>
      <c r="AB22" s="5"/>
      <c r="AC22" s="6"/>
      <c r="AD22" s="6"/>
      <c r="AE22" s="7"/>
      <c r="AF22" s="5"/>
      <c r="AG22" s="6"/>
      <c r="AH22" s="6"/>
      <c r="AI22" s="6"/>
      <c r="AJ22" s="7"/>
      <c r="AK22" s="5"/>
      <c r="AL22" s="6"/>
      <c r="AM22" s="6"/>
      <c r="AN22" s="7"/>
      <c r="AO22" s="5"/>
      <c r="AP22" s="6"/>
      <c r="AQ22" s="6"/>
      <c r="AR22" s="7"/>
      <c r="AS22" s="5"/>
      <c r="AT22" s="6"/>
      <c r="AU22" s="6"/>
      <c r="AV22" s="6"/>
      <c r="AW22" s="7"/>
      <c r="AX22" s="2"/>
      <c r="AY22" s="3"/>
      <c r="AZ22" s="3"/>
      <c r="BA22" s="4"/>
      <c r="BB22" s="37"/>
      <c r="BC22" s="46"/>
    </row>
    <row r="23" spans="1:57" ht="16.5" customHeight="1">
      <c r="A23" s="27" t="s">
        <v>15</v>
      </c>
      <c r="B23" s="15"/>
      <c r="C23" s="6"/>
      <c r="D23" s="6"/>
      <c r="E23" s="7"/>
      <c r="F23" s="5"/>
      <c r="G23" s="6"/>
      <c r="H23" s="6"/>
      <c r="I23" s="7"/>
      <c r="J23" s="5"/>
      <c r="K23" s="6"/>
      <c r="L23" s="6"/>
      <c r="M23" s="6"/>
      <c r="N23" s="7"/>
      <c r="O23" s="5"/>
      <c r="P23" s="6"/>
      <c r="Q23" s="6"/>
      <c r="R23" s="7"/>
      <c r="S23" s="5"/>
      <c r="T23" s="6"/>
      <c r="U23" s="6"/>
      <c r="V23" s="6"/>
      <c r="W23" s="7"/>
      <c r="X23" s="5"/>
      <c r="Y23" s="6"/>
      <c r="Z23" s="6"/>
      <c r="AA23" s="7"/>
      <c r="AB23" s="5"/>
      <c r="AC23" s="6"/>
      <c r="AD23" s="6"/>
      <c r="AE23" s="7"/>
      <c r="AF23" s="5"/>
      <c r="AG23" s="6"/>
      <c r="AH23" s="6"/>
      <c r="AI23" s="6"/>
      <c r="AJ23" s="7"/>
      <c r="AK23" s="5"/>
      <c r="AL23" s="6"/>
      <c r="AM23" s="6"/>
      <c r="AN23" s="7"/>
      <c r="AO23" s="5"/>
      <c r="AP23" s="6"/>
      <c r="AQ23" s="6"/>
      <c r="AR23" s="7"/>
      <c r="AS23" s="5"/>
      <c r="AT23" s="6"/>
      <c r="AU23" s="6"/>
      <c r="AV23" s="6"/>
      <c r="AW23" s="7"/>
      <c r="AX23" s="2"/>
      <c r="AY23" s="3"/>
      <c r="AZ23" s="3"/>
      <c r="BA23" s="4"/>
      <c r="BB23" s="35"/>
      <c r="BC23" s="44"/>
    </row>
    <row r="24" spans="1:57" ht="16.5" customHeight="1">
      <c r="A24" s="49" t="s">
        <v>72</v>
      </c>
      <c r="B24" s="311"/>
      <c r="C24" s="311"/>
      <c r="D24" s="311"/>
      <c r="E24" s="312"/>
      <c r="F24" s="310"/>
      <c r="G24" s="311"/>
      <c r="H24" s="311"/>
      <c r="I24" s="312"/>
      <c r="J24" s="310"/>
      <c r="K24" s="311"/>
      <c r="L24" s="311"/>
      <c r="M24" s="311"/>
      <c r="N24" s="312"/>
      <c r="O24" s="310">
        <f>1101166</f>
        <v>1101166</v>
      </c>
      <c r="P24" s="311"/>
      <c r="Q24" s="311"/>
      <c r="R24" s="312"/>
      <c r="S24" s="310">
        <f>(617638+51528)</f>
        <v>669166</v>
      </c>
      <c r="T24" s="311"/>
      <c r="U24" s="311"/>
      <c r="V24" s="311"/>
      <c r="W24" s="312"/>
      <c r="X24" s="310"/>
      <c r="Y24" s="311"/>
      <c r="Z24" s="311"/>
      <c r="AA24" s="312"/>
      <c r="AB24" s="310"/>
      <c r="AC24" s="311"/>
      <c r="AD24" s="311"/>
      <c r="AE24" s="312"/>
      <c r="AF24" s="310"/>
      <c r="AG24" s="311"/>
      <c r="AH24" s="311"/>
      <c r="AI24" s="311"/>
      <c r="AJ24" s="312"/>
      <c r="AK24" s="310"/>
      <c r="AL24" s="311"/>
      <c r="AM24" s="311"/>
      <c r="AN24" s="312"/>
      <c r="AO24" s="310"/>
      <c r="AP24" s="311"/>
      <c r="AQ24" s="311"/>
      <c r="AR24" s="312"/>
      <c r="AS24" s="310"/>
      <c r="AT24" s="311"/>
      <c r="AU24" s="311"/>
      <c r="AV24" s="311"/>
      <c r="AW24" s="312"/>
      <c r="AX24" s="313"/>
      <c r="AY24" s="314"/>
      <c r="AZ24" s="314"/>
      <c r="BA24" s="314"/>
      <c r="BB24" s="40"/>
      <c r="BC24" s="45">
        <f>SUM(B24:BA24)</f>
        <v>1770332</v>
      </c>
      <c r="BD24" s="57"/>
      <c r="BE24" s="12"/>
    </row>
    <row r="25" spans="1:57" ht="16.5" customHeight="1">
      <c r="A25" s="30"/>
      <c r="B25" s="15"/>
      <c r="C25" s="6"/>
      <c r="D25" s="6"/>
      <c r="E25" s="7"/>
      <c r="F25" s="5"/>
      <c r="G25" s="6"/>
      <c r="H25" s="6"/>
      <c r="I25" s="7"/>
      <c r="J25" s="5"/>
      <c r="K25" s="6"/>
      <c r="L25" s="6"/>
      <c r="M25" s="6"/>
      <c r="N25" s="7"/>
      <c r="O25" s="5"/>
      <c r="P25" s="6"/>
      <c r="Q25" s="6"/>
      <c r="R25" s="7"/>
      <c r="S25" s="5"/>
      <c r="T25" s="6"/>
      <c r="U25" s="6"/>
      <c r="V25" s="6"/>
      <c r="W25" s="7"/>
      <c r="X25" s="5"/>
      <c r="Y25" s="6"/>
      <c r="Z25" s="6"/>
      <c r="AA25" s="7"/>
      <c r="AB25" s="5"/>
      <c r="AC25" s="6"/>
      <c r="AD25" s="6"/>
      <c r="AE25" s="7"/>
      <c r="AF25" s="5"/>
      <c r="AG25" s="6"/>
      <c r="AH25" s="6"/>
      <c r="AI25" s="6"/>
      <c r="AJ25" s="7"/>
      <c r="AK25" s="5"/>
      <c r="AL25" s="6"/>
      <c r="AM25" s="6"/>
      <c r="AN25" s="7"/>
      <c r="AO25" s="5"/>
      <c r="AP25" s="6"/>
      <c r="AQ25" s="6"/>
      <c r="AR25" s="7"/>
      <c r="AS25" s="5"/>
      <c r="AT25" s="6"/>
      <c r="AU25" s="6"/>
      <c r="AV25" s="6"/>
      <c r="AW25" s="7"/>
      <c r="AX25" s="2"/>
      <c r="AY25" s="3"/>
      <c r="AZ25" s="3"/>
      <c r="BA25" s="4"/>
      <c r="BB25" s="37"/>
      <c r="BC25" s="46"/>
    </row>
    <row r="26" spans="1:57" ht="16.5" customHeight="1">
      <c r="A26" s="27" t="s">
        <v>16</v>
      </c>
      <c r="B26" s="15"/>
      <c r="C26" s="6"/>
      <c r="D26" s="6"/>
      <c r="E26" s="7"/>
      <c r="F26" s="5"/>
      <c r="G26" s="6"/>
      <c r="H26" s="6"/>
      <c r="I26" s="7"/>
      <c r="J26" s="5"/>
      <c r="K26" s="6"/>
      <c r="L26" s="6"/>
      <c r="M26" s="6"/>
      <c r="N26" s="7"/>
      <c r="O26" s="5"/>
      <c r="P26" s="6"/>
      <c r="Q26" s="6"/>
      <c r="R26" s="7"/>
      <c r="S26" s="5"/>
      <c r="T26" s="6"/>
      <c r="U26" s="6"/>
      <c r="V26" s="6"/>
      <c r="W26" s="7"/>
      <c r="X26" s="5"/>
      <c r="Y26" s="6"/>
      <c r="Z26" s="6"/>
      <c r="AA26" s="7"/>
      <c r="AB26" s="5"/>
      <c r="AC26" s="6"/>
      <c r="AD26" s="6"/>
      <c r="AE26" s="7"/>
      <c r="AF26" s="5"/>
      <c r="AG26" s="6"/>
      <c r="AH26" s="6"/>
      <c r="AI26" s="6"/>
      <c r="AJ26" s="7"/>
      <c r="AK26" s="5"/>
      <c r="AL26" s="6"/>
      <c r="AM26" s="6"/>
      <c r="AN26" s="7"/>
      <c r="AO26" s="5"/>
      <c r="AP26" s="6"/>
      <c r="AQ26" s="6"/>
      <c r="AR26" s="7"/>
      <c r="AS26" s="5"/>
      <c r="AT26" s="6"/>
      <c r="AU26" s="6"/>
      <c r="AV26" s="6"/>
      <c r="AW26" s="7"/>
      <c r="AX26" s="2"/>
      <c r="AY26" s="3"/>
      <c r="AZ26" s="3"/>
      <c r="BA26" s="4"/>
      <c r="BB26" s="35"/>
      <c r="BC26" s="44"/>
    </row>
    <row r="27" spans="1:57" s="285" customFormat="1">
      <c r="A27" s="284" t="s">
        <v>71</v>
      </c>
      <c r="B27" s="289">
        <v>3</v>
      </c>
      <c r="C27" s="289"/>
      <c r="D27" s="289"/>
      <c r="E27" s="298"/>
      <c r="F27" s="323">
        <v>3</v>
      </c>
      <c r="G27" s="324"/>
      <c r="H27" s="324"/>
      <c r="I27" s="325"/>
      <c r="J27" s="297">
        <v>3</v>
      </c>
      <c r="K27" s="289"/>
      <c r="L27" s="289"/>
      <c r="M27" s="289"/>
      <c r="N27" s="298"/>
      <c r="O27" s="297">
        <v>3</v>
      </c>
      <c r="P27" s="289"/>
      <c r="Q27" s="289"/>
      <c r="R27" s="298"/>
      <c r="S27" s="297">
        <v>3</v>
      </c>
      <c r="T27" s="289"/>
      <c r="U27" s="289"/>
      <c r="V27" s="289"/>
      <c r="W27" s="298"/>
      <c r="X27" s="297">
        <v>3</v>
      </c>
      <c r="Y27" s="289"/>
      <c r="Z27" s="289"/>
      <c r="AA27" s="298"/>
      <c r="AB27" s="297">
        <v>3</v>
      </c>
      <c r="AC27" s="289"/>
      <c r="AD27" s="289"/>
      <c r="AE27" s="298"/>
      <c r="AF27" s="297"/>
      <c r="AG27" s="289"/>
      <c r="AH27" s="289"/>
      <c r="AI27" s="289"/>
      <c r="AJ27" s="298"/>
      <c r="AK27" s="297">
        <v>3</v>
      </c>
      <c r="AL27" s="289"/>
      <c r="AM27" s="289"/>
      <c r="AN27" s="298"/>
      <c r="AO27" s="289">
        <v>3</v>
      </c>
      <c r="AP27" s="289"/>
      <c r="AQ27" s="289"/>
      <c r="AR27" s="298"/>
      <c r="AS27" s="297">
        <v>3</v>
      </c>
      <c r="AT27" s="289"/>
      <c r="AU27" s="289"/>
      <c r="AV27" s="289"/>
      <c r="AW27" s="298"/>
      <c r="AX27" s="289"/>
      <c r="AY27" s="289"/>
      <c r="AZ27" s="289"/>
      <c r="BA27" s="290"/>
      <c r="BB27" s="189">
        <f>SUM(B27:AW27)</f>
        <v>30</v>
      </c>
      <c r="BC27" s="190"/>
    </row>
    <row r="28" spans="1:57" ht="16.5" customHeight="1" thickBot="1">
      <c r="A28" s="49" t="s">
        <v>72</v>
      </c>
      <c r="B28" s="316">
        <f>264515</f>
        <v>264515</v>
      </c>
      <c r="C28" s="316"/>
      <c r="D28" s="316"/>
      <c r="E28" s="317"/>
      <c r="F28" s="315">
        <f>264515</f>
        <v>264515</v>
      </c>
      <c r="G28" s="316"/>
      <c r="H28" s="316"/>
      <c r="I28" s="317"/>
      <c r="J28" s="315">
        <f>264.515*1000</f>
        <v>264515</v>
      </c>
      <c r="K28" s="316"/>
      <c r="L28" s="316"/>
      <c r="M28" s="316"/>
      <c r="N28" s="317"/>
      <c r="O28" s="315">
        <f>264515</f>
        <v>264515</v>
      </c>
      <c r="P28" s="316"/>
      <c r="Q28" s="316"/>
      <c r="R28" s="317"/>
      <c r="S28" s="315">
        <f>264.515*1000</f>
        <v>264515</v>
      </c>
      <c r="T28" s="316"/>
      <c r="U28" s="316"/>
      <c r="V28" s="316"/>
      <c r="W28" s="317"/>
      <c r="X28" s="315">
        <f>264515</f>
        <v>264515</v>
      </c>
      <c r="Y28" s="316"/>
      <c r="Z28" s="316"/>
      <c r="AA28" s="317"/>
      <c r="AB28" s="315">
        <f>229412</f>
        <v>229412</v>
      </c>
      <c r="AC28" s="316"/>
      <c r="AD28" s="316"/>
      <c r="AE28" s="317"/>
      <c r="AF28" s="315"/>
      <c r="AG28" s="316"/>
      <c r="AH28" s="316"/>
      <c r="AI28" s="316"/>
      <c r="AJ28" s="317"/>
      <c r="AK28" s="315">
        <f>252384</f>
        <v>252384</v>
      </c>
      <c r="AL28" s="316"/>
      <c r="AM28" s="316"/>
      <c r="AN28" s="317"/>
      <c r="AO28" s="315">
        <f>252384</f>
        <v>252384</v>
      </c>
      <c r="AP28" s="316"/>
      <c r="AQ28" s="316"/>
      <c r="AR28" s="317"/>
      <c r="AS28" s="315">
        <f>258.434*1000</f>
        <v>258434.00000000003</v>
      </c>
      <c r="AT28" s="316"/>
      <c r="AU28" s="316"/>
      <c r="AV28" s="316"/>
      <c r="AW28" s="317"/>
      <c r="AX28" s="318"/>
      <c r="AY28" s="319"/>
      <c r="AZ28" s="319"/>
      <c r="BA28" s="319"/>
      <c r="BB28" s="41"/>
      <c r="BC28" s="45">
        <f>SUM(B28:BA28)</f>
        <v>2579704</v>
      </c>
      <c r="BD28" s="57"/>
      <c r="BE28" s="12"/>
    </row>
    <row r="29" spans="1:57" ht="13.5" thickBot="1">
      <c r="A29" s="51" t="s">
        <v>74</v>
      </c>
      <c r="B29" s="341">
        <f>B28+B24+B21+C18+B10+B6</f>
        <v>264515</v>
      </c>
      <c r="C29" s="334"/>
      <c r="D29" s="334"/>
      <c r="E29" s="335"/>
      <c r="F29" s="333">
        <f>F28+F14+F10+F6+F18+F21+F24</f>
        <v>4715177</v>
      </c>
      <c r="G29" s="334"/>
      <c r="H29" s="334"/>
      <c r="I29" s="335"/>
      <c r="J29" s="333">
        <f>J28+J24+J21+J18+J14+J10+J6</f>
        <v>10880696</v>
      </c>
      <c r="K29" s="334"/>
      <c r="L29" s="334"/>
      <c r="M29" s="334"/>
      <c r="N29" s="335"/>
      <c r="O29" s="333">
        <f>O28+O24+O21+O18+O14+O10+O6</f>
        <v>11204569</v>
      </c>
      <c r="P29" s="334"/>
      <c r="Q29" s="334"/>
      <c r="R29" s="335"/>
      <c r="S29" s="333">
        <f>S28+S24+S21+S18+S14+S10+S6</f>
        <v>10298881</v>
      </c>
      <c r="T29" s="334"/>
      <c r="U29" s="334"/>
      <c r="V29" s="334"/>
      <c r="W29" s="335"/>
      <c r="X29" s="333">
        <f>X28+X24+X21+X18+X14+X10+X6</f>
        <v>264549</v>
      </c>
      <c r="Y29" s="334"/>
      <c r="Z29" s="334"/>
      <c r="AA29" s="335"/>
      <c r="AB29" s="333">
        <f>AB28+AB24+AB21+AB18+AB14+AB10+AB6</f>
        <v>229412</v>
      </c>
      <c r="AC29" s="334"/>
      <c r="AD29" s="334"/>
      <c r="AE29" s="335"/>
      <c r="AF29" s="333">
        <f>AF28+AF24+AF21+AF18+AF14+AF10+AF6</f>
        <v>4827944</v>
      </c>
      <c r="AG29" s="334"/>
      <c r="AH29" s="334"/>
      <c r="AI29" s="334"/>
      <c r="AJ29" s="335"/>
      <c r="AK29" s="333">
        <f>AK28+AK18+AK14+AK10+AK6</f>
        <v>5033205</v>
      </c>
      <c r="AL29" s="334"/>
      <c r="AM29" s="334"/>
      <c r="AN29" s="335"/>
      <c r="AO29" s="333">
        <f>AO28+AO24+AO21+AO18+AO14+AO10+AO6</f>
        <v>2201276</v>
      </c>
      <c r="AP29" s="334"/>
      <c r="AQ29" s="334"/>
      <c r="AR29" s="335"/>
      <c r="AS29" s="333">
        <f>AS28+AS24+AS21+AS18+AS14+AS10+AS6</f>
        <v>315736</v>
      </c>
      <c r="AT29" s="334"/>
      <c r="AU29" s="334"/>
      <c r="AV29" s="334"/>
      <c r="AW29" s="335"/>
      <c r="AX29" s="333">
        <f>AX28+AX24+AX21+AX18+AX14+AX10+AX6</f>
        <v>0</v>
      </c>
      <c r="AY29" s="334"/>
      <c r="AZ29" s="334"/>
      <c r="BA29" s="334"/>
      <c r="BB29" s="42">
        <f>SUM(BB3:BB28)</f>
        <v>3023</v>
      </c>
      <c r="BC29" s="48">
        <f>BC28+BC24+BC21+BC18+BC14+BC10+BC6</f>
        <v>50235960</v>
      </c>
      <c r="BD29" s="57"/>
      <c r="BE29" s="12"/>
    </row>
    <row r="30" spans="1:57">
      <c r="A30" s="177" t="s">
        <v>62</v>
      </c>
      <c r="B30" s="155"/>
      <c r="C30" s="156"/>
      <c r="D30" s="156"/>
      <c r="E30" s="157"/>
      <c r="F30" s="158"/>
      <c r="G30" s="156"/>
      <c r="H30" s="156"/>
      <c r="I30" s="157"/>
      <c r="J30" s="158"/>
      <c r="K30" s="156"/>
      <c r="L30" s="156"/>
      <c r="M30" s="156"/>
      <c r="N30" s="157"/>
      <c r="O30" s="158"/>
      <c r="P30" s="156"/>
      <c r="Q30" s="156"/>
      <c r="R30" s="157"/>
      <c r="S30" s="158"/>
      <c r="T30" s="156"/>
      <c r="U30" s="156"/>
      <c r="V30" s="156"/>
      <c r="W30" s="157"/>
      <c r="X30" s="158"/>
      <c r="Y30" s="156"/>
      <c r="Z30" s="156"/>
      <c r="AA30" s="157"/>
      <c r="AB30" s="158"/>
      <c r="AC30" s="156"/>
      <c r="AD30" s="156"/>
      <c r="AE30" s="157"/>
      <c r="AF30" s="158"/>
      <c r="AG30" s="156"/>
      <c r="AH30" s="156"/>
      <c r="AI30" s="156"/>
      <c r="AJ30" s="157"/>
      <c r="AK30" s="158"/>
      <c r="AL30" s="156"/>
      <c r="AM30" s="156"/>
      <c r="AN30" s="157"/>
      <c r="AO30" s="158"/>
      <c r="AP30" s="156"/>
      <c r="AQ30" s="156"/>
      <c r="AR30" s="157"/>
      <c r="AS30" s="158"/>
      <c r="AT30" s="156"/>
      <c r="AU30" s="156"/>
      <c r="AV30" s="156"/>
      <c r="AW30" s="157"/>
      <c r="AX30" s="159"/>
      <c r="AY30" s="160"/>
      <c r="AZ30" s="160"/>
      <c r="BA30" s="161"/>
      <c r="BB30" s="162"/>
      <c r="BC30" s="163"/>
    </row>
    <row r="31" spans="1:57">
      <c r="A31" s="178" t="s">
        <v>52</v>
      </c>
      <c r="B31" s="294" t="s">
        <v>63</v>
      </c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6"/>
      <c r="BB31" s="176"/>
      <c r="BC31" s="172"/>
    </row>
    <row r="32" spans="1:57">
      <c r="A32" s="179"/>
      <c r="B32" s="164"/>
      <c r="C32" s="165"/>
      <c r="D32" s="165"/>
      <c r="E32" s="166"/>
      <c r="F32" s="167"/>
      <c r="G32" s="165"/>
      <c r="H32" s="165"/>
      <c r="I32" s="166"/>
      <c r="J32" s="167"/>
      <c r="K32" s="165"/>
      <c r="L32" s="165"/>
      <c r="M32" s="165"/>
      <c r="N32" s="166"/>
      <c r="O32" s="167"/>
      <c r="P32" s="165"/>
      <c r="Q32" s="165"/>
      <c r="R32" s="166"/>
      <c r="S32" s="167"/>
      <c r="T32" s="165"/>
      <c r="U32" s="165"/>
      <c r="V32" s="165"/>
      <c r="W32" s="166"/>
      <c r="X32" s="167"/>
      <c r="Y32" s="165"/>
      <c r="Z32" s="165"/>
      <c r="AA32" s="166"/>
      <c r="AB32" s="167"/>
      <c r="AC32" s="165"/>
      <c r="AD32" s="165"/>
      <c r="AE32" s="166"/>
      <c r="AF32" s="167"/>
      <c r="AG32" s="165"/>
      <c r="AH32" s="165"/>
      <c r="AI32" s="165"/>
      <c r="AJ32" s="166"/>
      <c r="AK32" s="167"/>
      <c r="AL32" s="165"/>
      <c r="AM32" s="165"/>
      <c r="AN32" s="166"/>
      <c r="AO32" s="167"/>
      <c r="AP32" s="165"/>
      <c r="AQ32" s="165"/>
      <c r="AR32" s="166"/>
      <c r="AS32" s="167"/>
      <c r="AT32" s="165"/>
      <c r="AU32" s="165"/>
      <c r="AV32" s="165"/>
      <c r="AW32" s="166"/>
      <c r="AX32" s="168"/>
      <c r="AY32" s="169"/>
      <c r="AZ32" s="169"/>
      <c r="BA32" s="170"/>
      <c r="BB32" s="173"/>
      <c r="BC32" s="174"/>
    </row>
    <row r="33" spans="1:55">
      <c r="A33" s="180" t="s">
        <v>64</v>
      </c>
      <c r="B33" s="164"/>
      <c r="C33" s="165"/>
      <c r="D33" s="165"/>
      <c r="E33" s="166"/>
      <c r="F33" s="167"/>
      <c r="G33" s="165"/>
      <c r="H33" s="165"/>
      <c r="I33" s="166"/>
      <c r="J33" s="167"/>
      <c r="K33" s="165"/>
      <c r="L33" s="165"/>
      <c r="M33" s="165"/>
      <c r="N33" s="166"/>
      <c r="O33" s="167"/>
      <c r="P33" s="165"/>
      <c r="Q33" s="165"/>
      <c r="R33" s="166"/>
      <c r="S33" s="167"/>
      <c r="T33" s="165"/>
      <c r="U33" s="165"/>
      <c r="V33" s="165"/>
      <c r="W33" s="166"/>
      <c r="X33" s="167"/>
      <c r="Y33" s="165"/>
      <c r="Z33" s="165"/>
      <c r="AA33" s="166"/>
      <c r="AB33" s="184"/>
      <c r="AC33" s="185"/>
      <c r="AD33" s="186"/>
      <c r="AE33" s="186"/>
      <c r="AF33" s="186"/>
      <c r="AG33" s="186"/>
      <c r="AH33" s="186"/>
      <c r="AI33" s="186"/>
      <c r="AJ33" s="187"/>
      <c r="AK33" s="186"/>
      <c r="AL33" s="186"/>
      <c r="AM33" s="186"/>
      <c r="AN33" s="186"/>
      <c r="AO33" s="186"/>
      <c r="AP33" s="186"/>
      <c r="AQ33" s="188"/>
      <c r="AR33" s="166"/>
      <c r="AS33" s="167"/>
      <c r="AT33" s="165"/>
      <c r="AU33" s="165"/>
      <c r="AV33" s="165"/>
      <c r="AW33" s="166"/>
      <c r="AX33" s="168"/>
      <c r="AY33" s="169"/>
      <c r="AZ33" s="169"/>
      <c r="BA33" s="170"/>
      <c r="BB33" s="171"/>
      <c r="BC33" s="172"/>
    </row>
    <row r="34" spans="1:55">
      <c r="A34" s="181" t="s">
        <v>48</v>
      </c>
      <c r="B34" s="307"/>
      <c r="C34" s="307"/>
      <c r="D34" s="307"/>
      <c r="E34" s="308"/>
      <c r="F34" s="309"/>
      <c r="G34" s="307"/>
      <c r="H34" s="307"/>
      <c r="I34" s="308"/>
      <c r="J34" s="297">
        <v>300000</v>
      </c>
      <c r="K34" s="289"/>
      <c r="L34" s="289"/>
      <c r="M34" s="289"/>
      <c r="N34" s="298"/>
      <c r="O34" s="297">
        <v>600000</v>
      </c>
      <c r="P34" s="289"/>
      <c r="Q34" s="289"/>
      <c r="R34" s="298"/>
      <c r="S34" s="297">
        <v>100000</v>
      </c>
      <c r="T34" s="289"/>
      <c r="U34" s="289"/>
      <c r="V34" s="289"/>
      <c r="W34" s="298"/>
      <c r="X34" s="297"/>
      <c r="Y34" s="289"/>
      <c r="Z34" s="289"/>
      <c r="AA34" s="298"/>
      <c r="AB34" s="297">
        <f>500000/50*30</f>
        <v>300000</v>
      </c>
      <c r="AC34" s="289"/>
      <c r="AD34" s="289"/>
      <c r="AE34" s="298"/>
      <c r="AF34" s="297">
        <f>(500000/50*20)+25000</f>
        <v>225000</v>
      </c>
      <c r="AG34" s="289"/>
      <c r="AH34" s="289"/>
      <c r="AI34" s="289"/>
      <c r="AJ34" s="298"/>
      <c r="AK34" s="297">
        <v>150000</v>
      </c>
      <c r="AL34" s="289"/>
      <c r="AM34" s="289"/>
      <c r="AN34" s="298"/>
      <c r="AO34" s="289">
        <v>75000</v>
      </c>
      <c r="AP34" s="289"/>
      <c r="AQ34" s="289"/>
      <c r="AR34" s="298"/>
      <c r="AS34" s="297">
        <v>330000</v>
      </c>
      <c r="AT34" s="289"/>
      <c r="AU34" s="289"/>
      <c r="AV34" s="289"/>
      <c r="AW34" s="298"/>
      <c r="AX34" s="289">
        <v>170000</v>
      </c>
      <c r="AY34" s="289"/>
      <c r="AZ34" s="289"/>
      <c r="BA34" s="290"/>
      <c r="BB34" s="189"/>
      <c r="BC34" s="190">
        <f>SUM(B34:BA34)</f>
        <v>2250000</v>
      </c>
    </row>
    <row r="35" spans="1:55" ht="13.5" thickBot="1">
      <c r="A35" s="49" t="s">
        <v>72</v>
      </c>
      <c r="B35" s="307"/>
      <c r="C35" s="307"/>
      <c r="D35" s="307"/>
      <c r="E35" s="308"/>
      <c r="F35" s="309"/>
      <c r="G35" s="307"/>
      <c r="H35" s="307"/>
      <c r="I35" s="308"/>
      <c r="J35" s="291">
        <f>J34*1</f>
        <v>300000</v>
      </c>
      <c r="K35" s="292"/>
      <c r="L35" s="292"/>
      <c r="M35" s="292"/>
      <c r="N35" s="293"/>
      <c r="O35" s="291">
        <f>O34*1</f>
        <v>600000</v>
      </c>
      <c r="P35" s="292"/>
      <c r="Q35" s="292"/>
      <c r="R35" s="293"/>
      <c r="S35" s="291">
        <f>S34*1</f>
        <v>100000</v>
      </c>
      <c r="T35" s="292"/>
      <c r="U35" s="292"/>
      <c r="V35" s="292"/>
      <c r="W35" s="293"/>
      <c r="X35" s="309"/>
      <c r="Y35" s="307"/>
      <c r="Z35" s="307"/>
      <c r="AA35" s="308"/>
      <c r="AB35" s="291">
        <f>AB34*1</f>
        <v>300000</v>
      </c>
      <c r="AC35" s="292"/>
      <c r="AD35" s="292"/>
      <c r="AE35" s="292"/>
      <c r="AF35" s="291">
        <f>AF34*1</f>
        <v>225000</v>
      </c>
      <c r="AG35" s="292"/>
      <c r="AH35" s="292"/>
      <c r="AI35" s="292"/>
      <c r="AJ35" s="293"/>
      <c r="AK35" s="291">
        <f>AK34*1</f>
        <v>150000</v>
      </c>
      <c r="AL35" s="292"/>
      <c r="AM35" s="292"/>
      <c r="AN35" s="293"/>
      <c r="AO35" s="292">
        <f>AO34*1</f>
        <v>75000</v>
      </c>
      <c r="AP35" s="292"/>
      <c r="AQ35" s="292"/>
      <c r="AR35" s="293"/>
      <c r="AS35" s="291">
        <f>AS34*1</f>
        <v>330000</v>
      </c>
      <c r="AT35" s="292"/>
      <c r="AU35" s="292"/>
      <c r="AV35" s="292"/>
      <c r="AW35" s="292"/>
      <c r="AX35" s="291">
        <f>AX34*1</f>
        <v>170000</v>
      </c>
      <c r="AY35" s="292"/>
      <c r="AZ35" s="292"/>
      <c r="BA35" s="305"/>
      <c r="BB35" s="191"/>
      <c r="BC35" s="192">
        <f>SUM(B35:BA35)</f>
        <v>2250000</v>
      </c>
    </row>
    <row r="36" spans="1:55" ht="13.5" thickBot="1">
      <c r="A36" s="182" t="s">
        <v>74</v>
      </c>
      <c r="B36" s="302"/>
      <c r="C36" s="300"/>
      <c r="D36" s="300"/>
      <c r="E36" s="301"/>
      <c r="F36" s="299"/>
      <c r="G36" s="300"/>
      <c r="H36" s="300"/>
      <c r="I36" s="301"/>
      <c r="J36" s="299">
        <f>J35</f>
        <v>300000</v>
      </c>
      <c r="K36" s="300"/>
      <c r="L36" s="300"/>
      <c r="M36" s="300"/>
      <c r="N36" s="301"/>
      <c r="O36" s="299">
        <f>O35</f>
        <v>600000</v>
      </c>
      <c r="P36" s="300"/>
      <c r="Q36" s="300"/>
      <c r="R36" s="301"/>
      <c r="S36" s="299">
        <f>S35</f>
        <v>100000</v>
      </c>
      <c r="T36" s="300"/>
      <c r="U36" s="300"/>
      <c r="V36" s="300"/>
      <c r="W36" s="301"/>
      <c r="X36" s="299"/>
      <c r="Y36" s="300"/>
      <c r="Z36" s="300"/>
      <c r="AA36" s="301"/>
      <c r="AB36" s="299">
        <f>AB35</f>
        <v>300000</v>
      </c>
      <c r="AC36" s="300"/>
      <c r="AD36" s="300"/>
      <c r="AE36" s="301"/>
      <c r="AF36" s="299">
        <f>AF35</f>
        <v>225000</v>
      </c>
      <c r="AG36" s="300"/>
      <c r="AH36" s="300"/>
      <c r="AI36" s="300"/>
      <c r="AJ36" s="301"/>
      <c r="AK36" s="299">
        <f>AK35</f>
        <v>150000</v>
      </c>
      <c r="AL36" s="300"/>
      <c r="AM36" s="300"/>
      <c r="AN36" s="301"/>
      <c r="AO36" s="299">
        <f>AO35</f>
        <v>75000</v>
      </c>
      <c r="AP36" s="300"/>
      <c r="AQ36" s="300"/>
      <c r="AR36" s="301"/>
      <c r="AS36" s="299">
        <f>AS35</f>
        <v>330000</v>
      </c>
      <c r="AT36" s="300"/>
      <c r="AU36" s="300"/>
      <c r="AV36" s="300"/>
      <c r="AW36" s="301"/>
      <c r="AX36" s="299">
        <f>AX35</f>
        <v>170000</v>
      </c>
      <c r="AY36" s="300"/>
      <c r="AZ36" s="300"/>
      <c r="BA36" s="306"/>
      <c r="BB36" s="193"/>
      <c r="BC36" s="194">
        <f>BC35</f>
        <v>2250000</v>
      </c>
    </row>
    <row r="37" spans="1:55" ht="13.5" thickBot="1">
      <c r="A37" s="183" t="s">
        <v>75</v>
      </c>
      <c r="B37" s="302">
        <f>B29+B36</f>
        <v>264515</v>
      </c>
      <c r="C37" s="300"/>
      <c r="D37" s="300"/>
      <c r="E37" s="301"/>
      <c r="F37" s="299">
        <f>F29+F36</f>
        <v>4715177</v>
      </c>
      <c r="G37" s="300"/>
      <c r="H37" s="300"/>
      <c r="I37" s="301"/>
      <c r="J37" s="299">
        <f>J29+J36</f>
        <v>11180696</v>
      </c>
      <c r="K37" s="303"/>
      <c r="L37" s="303"/>
      <c r="M37" s="303"/>
      <c r="N37" s="304"/>
      <c r="O37" s="299">
        <f>O36+O29</f>
        <v>11804569</v>
      </c>
      <c r="P37" s="303"/>
      <c r="Q37" s="303"/>
      <c r="R37" s="304"/>
      <c r="S37" s="299">
        <f>S36+S29</f>
        <v>10398881</v>
      </c>
      <c r="T37" s="300"/>
      <c r="U37" s="300"/>
      <c r="V37" s="300"/>
      <c r="W37" s="301"/>
      <c r="X37" s="299">
        <f>X29+X36</f>
        <v>264549</v>
      </c>
      <c r="Y37" s="300"/>
      <c r="Z37" s="300"/>
      <c r="AA37" s="301"/>
      <c r="AB37" s="299">
        <f>AB36+AB29</f>
        <v>529412</v>
      </c>
      <c r="AC37" s="300"/>
      <c r="AD37" s="300"/>
      <c r="AE37" s="301"/>
      <c r="AF37" s="299">
        <f>AF36+AF29</f>
        <v>5052944</v>
      </c>
      <c r="AG37" s="300"/>
      <c r="AH37" s="300"/>
      <c r="AI37" s="300"/>
      <c r="AJ37" s="301"/>
      <c r="AK37" s="299">
        <f>AK36+AK29</f>
        <v>5183205</v>
      </c>
      <c r="AL37" s="300"/>
      <c r="AM37" s="300"/>
      <c r="AN37" s="301"/>
      <c r="AO37" s="299">
        <f>AO36+AO29</f>
        <v>2276276</v>
      </c>
      <c r="AP37" s="300"/>
      <c r="AQ37" s="300"/>
      <c r="AR37" s="301"/>
      <c r="AS37" s="299">
        <f>AS36+AS29</f>
        <v>645736</v>
      </c>
      <c r="AT37" s="300"/>
      <c r="AU37" s="300"/>
      <c r="AV37" s="300"/>
      <c r="AW37" s="301"/>
      <c r="AX37" s="299">
        <f>AX36+AX29</f>
        <v>170000</v>
      </c>
      <c r="AY37" s="300"/>
      <c r="AZ37" s="300"/>
      <c r="BA37" s="300"/>
      <c r="BB37" s="193">
        <f>BB36+BB29</f>
        <v>3023</v>
      </c>
      <c r="BC37" s="194">
        <f>BC36+BC29</f>
        <v>52485960</v>
      </c>
    </row>
  </sheetData>
  <mergeCells count="220">
    <mergeCell ref="AX27:BA27"/>
    <mergeCell ref="AO13:AR13"/>
    <mergeCell ref="AS13:AW13"/>
    <mergeCell ref="AX13:BA13"/>
    <mergeCell ref="AO18:AR18"/>
    <mergeCell ref="AS18:AW18"/>
    <mergeCell ref="AX18:BA18"/>
    <mergeCell ref="AX14:BA14"/>
    <mergeCell ref="B17:E17"/>
    <mergeCell ref="F17:I17"/>
    <mergeCell ref="J17:N17"/>
    <mergeCell ref="O17:R17"/>
    <mergeCell ref="AO27:AR27"/>
    <mergeCell ref="AS27:AW27"/>
    <mergeCell ref="AO17:AR17"/>
    <mergeCell ref="AS17:AW17"/>
    <mergeCell ref="AX17:BA17"/>
    <mergeCell ref="S17:W17"/>
    <mergeCell ref="X17:AA17"/>
    <mergeCell ref="AB17:AE17"/>
    <mergeCell ref="AF17:AJ17"/>
    <mergeCell ref="AO5:AR5"/>
    <mergeCell ref="AS5:AW5"/>
    <mergeCell ref="AO9:AR9"/>
    <mergeCell ref="AS9:AW9"/>
    <mergeCell ref="AK6:AN6"/>
    <mergeCell ref="AO6:AR6"/>
    <mergeCell ref="AS6:AW6"/>
    <mergeCell ref="AX5:BA5"/>
    <mergeCell ref="B9:E9"/>
    <mergeCell ref="F9:I9"/>
    <mergeCell ref="J9:N9"/>
    <mergeCell ref="O9:R9"/>
    <mergeCell ref="S9:W9"/>
    <mergeCell ref="X9:AA9"/>
    <mergeCell ref="AB9:AE9"/>
    <mergeCell ref="AF9:AJ9"/>
    <mergeCell ref="AK9:AN9"/>
    <mergeCell ref="AX9:BA9"/>
    <mergeCell ref="B5:E5"/>
    <mergeCell ref="F5:I5"/>
    <mergeCell ref="J5:N5"/>
    <mergeCell ref="O5:R5"/>
    <mergeCell ref="S5:W5"/>
    <mergeCell ref="X5:AA5"/>
    <mergeCell ref="AB5:AE5"/>
    <mergeCell ref="AF5:AJ5"/>
    <mergeCell ref="AK5:AN5"/>
    <mergeCell ref="A1:A2"/>
    <mergeCell ref="B18:E18"/>
    <mergeCell ref="AO29:AR29"/>
    <mergeCell ref="AS29:AW29"/>
    <mergeCell ref="B29:E29"/>
    <mergeCell ref="F29:I29"/>
    <mergeCell ref="J29:N29"/>
    <mergeCell ref="O29:R29"/>
    <mergeCell ref="B1:E1"/>
    <mergeCell ref="F1:I1"/>
    <mergeCell ref="AX29:BA29"/>
    <mergeCell ref="S29:W29"/>
    <mergeCell ref="X29:AA29"/>
    <mergeCell ref="AB29:AE29"/>
    <mergeCell ref="AF29:AJ29"/>
    <mergeCell ref="AK29:AN29"/>
    <mergeCell ref="F14:I14"/>
    <mergeCell ref="J6:N6"/>
    <mergeCell ref="J10:N10"/>
    <mergeCell ref="J14:N14"/>
    <mergeCell ref="S6:W6"/>
    <mergeCell ref="J13:N13"/>
    <mergeCell ref="O13:R13"/>
    <mergeCell ref="AS1:AW1"/>
    <mergeCell ref="AX1:BA1"/>
    <mergeCell ref="BB1:BB2"/>
    <mergeCell ref="J1:N1"/>
    <mergeCell ref="O1:R1"/>
    <mergeCell ref="S1:W1"/>
    <mergeCell ref="B13:E13"/>
    <mergeCell ref="F13:I13"/>
    <mergeCell ref="B6:E6"/>
    <mergeCell ref="X10:AA10"/>
    <mergeCell ref="BC1:BC2"/>
    <mergeCell ref="X1:AA1"/>
    <mergeCell ref="AB1:AE1"/>
    <mergeCell ref="AF1:AJ1"/>
    <mergeCell ref="AK1:AN1"/>
    <mergeCell ref="AO1:AR1"/>
    <mergeCell ref="AX6:BA6"/>
    <mergeCell ref="AF6:AJ6"/>
    <mergeCell ref="AB6:AE6"/>
    <mergeCell ref="X6:AA6"/>
    <mergeCell ref="B24:E24"/>
    <mergeCell ref="F24:I24"/>
    <mergeCell ref="F6:I6"/>
    <mergeCell ref="F10:I10"/>
    <mergeCell ref="B14:E14"/>
    <mergeCell ref="B10:E10"/>
    <mergeCell ref="AO10:AR10"/>
    <mergeCell ref="AS10:AW10"/>
    <mergeCell ref="AX10:BA10"/>
    <mergeCell ref="AF14:AJ14"/>
    <mergeCell ref="AF13:AJ13"/>
    <mergeCell ref="AK13:AN13"/>
    <mergeCell ref="AK14:AN14"/>
    <mergeCell ref="AO14:AR14"/>
    <mergeCell ref="AS14:AW14"/>
    <mergeCell ref="S28:W28"/>
    <mergeCell ref="J28:N28"/>
    <mergeCell ref="O28:R28"/>
    <mergeCell ref="J24:N24"/>
    <mergeCell ref="O24:R24"/>
    <mergeCell ref="S24:W24"/>
    <mergeCell ref="J27:N27"/>
    <mergeCell ref="O27:R27"/>
    <mergeCell ref="S27:W27"/>
    <mergeCell ref="J18:N18"/>
    <mergeCell ref="B21:E21"/>
    <mergeCell ref="F21:I21"/>
    <mergeCell ref="J21:N21"/>
    <mergeCell ref="AB27:AE27"/>
    <mergeCell ref="AF27:AJ27"/>
    <mergeCell ref="AK27:AN27"/>
    <mergeCell ref="O6:R6"/>
    <mergeCell ref="O10:R10"/>
    <mergeCell ref="O14:R14"/>
    <mergeCell ref="O18:R18"/>
    <mergeCell ref="S13:W13"/>
    <mergeCell ref="AK17:AN17"/>
    <mergeCell ref="S10:W10"/>
    <mergeCell ref="S18:W18"/>
    <mergeCell ref="S14:W14"/>
    <mergeCell ref="X14:AA14"/>
    <mergeCell ref="B28:E28"/>
    <mergeCell ref="F28:I28"/>
    <mergeCell ref="F18:I18"/>
    <mergeCell ref="X27:AA27"/>
    <mergeCell ref="B27:E27"/>
    <mergeCell ref="F27:I27"/>
    <mergeCell ref="AK10:AN10"/>
    <mergeCell ref="AF10:AJ10"/>
    <mergeCell ref="AF18:AJ18"/>
    <mergeCell ref="AB10:AE10"/>
    <mergeCell ref="AK18:AN18"/>
    <mergeCell ref="X13:AA13"/>
    <mergeCell ref="AB13:AE13"/>
    <mergeCell ref="AO28:AR28"/>
    <mergeCell ref="AS28:AW28"/>
    <mergeCell ref="AX28:BA28"/>
    <mergeCell ref="X28:AA28"/>
    <mergeCell ref="AB14:AE14"/>
    <mergeCell ref="AB18:AE18"/>
    <mergeCell ref="X18:AA18"/>
    <mergeCell ref="AK28:AN28"/>
    <mergeCell ref="AB28:AE28"/>
    <mergeCell ref="AF28:AJ28"/>
    <mergeCell ref="AO21:AR21"/>
    <mergeCell ref="AS21:AW21"/>
    <mergeCell ref="O21:R21"/>
    <mergeCell ref="S21:W21"/>
    <mergeCell ref="X21:AA21"/>
    <mergeCell ref="AB21:AE21"/>
    <mergeCell ref="X24:AA24"/>
    <mergeCell ref="AB24:AE24"/>
    <mergeCell ref="AF24:AJ24"/>
    <mergeCell ref="AK24:AN24"/>
    <mergeCell ref="AX21:BA21"/>
    <mergeCell ref="AO24:AR24"/>
    <mergeCell ref="AS24:AW24"/>
    <mergeCell ref="AX24:BA24"/>
    <mergeCell ref="AF21:AJ21"/>
    <mergeCell ref="AK21:AN21"/>
    <mergeCell ref="AK37:AN37"/>
    <mergeCell ref="B34:E34"/>
    <mergeCell ref="F34:I34"/>
    <mergeCell ref="S34:W34"/>
    <mergeCell ref="X34:AA34"/>
    <mergeCell ref="B35:E35"/>
    <mergeCell ref="F35:I35"/>
    <mergeCell ref="S35:W35"/>
    <mergeCell ref="X35:AA35"/>
    <mergeCell ref="AO37:AR37"/>
    <mergeCell ref="AS37:AW37"/>
    <mergeCell ref="AX37:BA37"/>
    <mergeCell ref="AS35:AW35"/>
    <mergeCell ref="AX35:BA35"/>
    <mergeCell ref="AO36:AR36"/>
    <mergeCell ref="AS36:AW36"/>
    <mergeCell ref="AX36:BA36"/>
    <mergeCell ref="AB37:AE37"/>
    <mergeCell ref="S36:W36"/>
    <mergeCell ref="X36:AA36"/>
    <mergeCell ref="AB36:AE36"/>
    <mergeCell ref="AF36:AJ36"/>
    <mergeCell ref="B36:E36"/>
    <mergeCell ref="F36:I36"/>
    <mergeCell ref="J36:N36"/>
    <mergeCell ref="O36:R36"/>
    <mergeCell ref="AF37:AJ37"/>
    <mergeCell ref="B37:E37"/>
    <mergeCell ref="F37:I37"/>
    <mergeCell ref="J37:N37"/>
    <mergeCell ref="O37:R37"/>
    <mergeCell ref="S37:W37"/>
    <mergeCell ref="X37:AA37"/>
    <mergeCell ref="AB34:AE34"/>
    <mergeCell ref="AF34:AJ34"/>
    <mergeCell ref="AK34:AN34"/>
    <mergeCell ref="AO34:AR34"/>
    <mergeCell ref="AS34:AW34"/>
    <mergeCell ref="AK36:AN36"/>
    <mergeCell ref="AX34:BA34"/>
    <mergeCell ref="AB35:AE35"/>
    <mergeCell ref="AF35:AJ35"/>
    <mergeCell ref="AK35:AN35"/>
    <mergeCell ref="AO35:AR35"/>
    <mergeCell ref="B31:BA31"/>
    <mergeCell ref="J34:N34"/>
    <mergeCell ref="J35:N35"/>
    <mergeCell ref="O35:R35"/>
    <mergeCell ref="O34:R34"/>
  </mergeCells>
  <phoneticPr fontId="0" type="noConversion"/>
  <pageMargins left="0.34722222222222199" right="0.34722222222222199" top="0.34722222222222199" bottom="0.34722222222222199" header="0.3" footer="0.3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35"/>
  <sheetViews>
    <sheetView zoomScaleNormal="100" workbookViewId="0">
      <selection activeCell="BE21" sqref="BE21"/>
    </sheetView>
  </sheetViews>
  <sheetFormatPr defaultRowHeight="12.75"/>
  <cols>
    <col min="1" max="1" width="29.7109375" customWidth="1"/>
    <col min="2" max="2" width="2.140625" customWidth="1"/>
    <col min="3" max="3" width="2.85546875" customWidth="1"/>
    <col min="4" max="4" width="3.140625" customWidth="1"/>
    <col min="5" max="5" width="3" customWidth="1"/>
    <col min="6" max="6" width="2.140625" customWidth="1"/>
    <col min="7" max="7" width="3" customWidth="1"/>
    <col min="8" max="8" width="2.85546875" customWidth="1"/>
    <col min="9" max="9" width="3.7109375" customWidth="1"/>
    <col min="10" max="10" width="2.5703125" customWidth="1"/>
    <col min="11" max="11" width="3.140625" customWidth="1"/>
    <col min="12" max="12" width="3" customWidth="1"/>
    <col min="13" max="13" width="3.42578125" customWidth="1"/>
    <col min="14" max="15" width="3.28515625" customWidth="1"/>
    <col min="16" max="16" width="3.42578125" customWidth="1"/>
    <col min="17" max="17" width="2.42578125" customWidth="1"/>
    <col min="18" max="18" width="3.140625" customWidth="1"/>
    <col min="19" max="19" width="3.28515625" customWidth="1"/>
    <col min="20" max="20" width="3" customWidth="1"/>
    <col min="21" max="23" width="2.140625" customWidth="1"/>
    <col min="24" max="24" width="3" customWidth="1"/>
    <col min="25" max="25" width="2.140625" customWidth="1"/>
    <col min="26" max="26" width="3.7109375" customWidth="1"/>
    <col min="27" max="27" width="3.42578125" customWidth="1"/>
    <col min="28" max="28" width="2.85546875" customWidth="1"/>
    <col min="29" max="29" width="2.140625" customWidth="1"/>
    <col min="30" max="30" width="2.85546875" customWidth="1"/>
    <col min="31" max="32" width="2.140625" customWidth="1"/>
    <col min="33" max="34" width="2.42578125" customWidth="1"/>
    <col min="35" max="36" width="2.140625" customWidth="1"/>
    <col min="37" max="37" width="3.5703125" customWidth="1"/>
    <col min="38" max="38" width="2.140625" customWidth="1"/>
    <col min="39" max="39" width="2.85546875" customWidth="1"/>
    <col min="40" max="40" width="2.5703125" customWidth="1"/>
    <col min="41" max="46" width="2.140625" customWidth="1"/>
    <col min="47" max="47" width="2.7109375" customWidth="1"/>
    <col min="48" max="48" width="3" customWidth="1"/>
    <col min="49" max="50" width="3.140625" customWidth="1"/>
    <col min="51" max="51" width="3" customWidth="1"/>
    <col min="52" max="53" width="2.7109375" customWidth="1"/>
    <col min="54" max="54" width="8.140625" style="55" bestFit="1" customWidth="1"/>
    <col min="55" max="55" width="12" style="55" bestFit="1" customWidth="1"/>
  </cols>
  <sheetData>
    <row r="1" spans="1:57" ht="16.5" customHeight="1">
      <c r="A1" s="336" t="s">
        <v>24</v>
      </c>
      <c r="B1" s="329" t="s">
        <v>2</v>
      </c>
      <c r="C1" s="329"/>
      <c r="D1" s="329"/>
      <c r="E1" s="329"/>
      <c r="F1" s="330"/>
      <c r="G1" s="328" t="s">
        <v>3</v>
      </c>
      <c r="H1" s="329"/>
      <c r="I1" s="329"/>
      <c r="J1" s="330"/>
      <c r="K1" s="328" t="s">
        <v>4</v>
      </c>
      <c r="L1" s="329"/>
      <c r="M1" s="329"/>
      <c r="N1" s="330"/>
      <c r="O1" s="328" t="s">
        <v>5</v>
      </c>
      <c r="P1" s="329"/>
      <c r="Q1" s="329"/>
      <c r="R1" s="330"/>
      <c r="S1" s="328" t="s">
        <v>6</v>
      </c>
      <c r="T1" s="329"/>
      <c r="U1" s="329"/>
      <c r="V1" s="329"/>
      <c r="W1" s="330"/>
      <c r="X1" s="328" t="s">
        <v>7</v>
      </c>
      <c r="Y1" s="329"/>
      <c r="Z1" s="329"/>
      <c r="AA1" s="330"/>
      <c r="AB1" s="328" t="s">
        <v>8</v>
      </c>
      <c r="AC1" s="329"/>
      <c r="AD1" s="329"/>
      <c r="AE1" s="330"/>
      <c r="AF1" s="328" t="s">
        <v>9</v>
      </c>
      <c r="AG1" s="329"/>
      <c r="AH1" s="329"/>
      <c r="AI1" s="329"/>
      <c r="AJ1" s="330"/>
      <c r="AK1" s="328" t="s">
        <v>10</v>
      </c>
      <c r="AL1" s="329"/>
      <c r="AM1" s="329"/>
      <c r="AN1" s="330"/>
      <c r="AO1" s="328" t="s">
        <v>11</v>
      </c>
      <c r="AP1" s="329"/>
      <c r="AQ1" s="329"/>
      <c r="AR1" s="329"/>
      <c r="AS1" s="330"/>
      <c r="AT1" s="328" t="s">
        <v>12</v>
      </c>
      <c r="AU1" s="329"/>
      <c r="AV1" s="329"/>
      <c r="AW1" s="330"/>
      <c r="AX1" s="328" t="s">
        <v>13</v>
      </c>
      <c r="AY1" s="329"/>
      <c r="AZ1" s="329"/>
      <c r="BA1" s="329"/>
      <c r="BB1" s="331" t="s">
        <v>0</v>
      </c>
      <c r="BC1" s="326" t="s">
        <v>1</v>
      </c>
    </row>
    <row r="2" spans="1:57" ht="16.5" customHeight="1" thickBot="1">
      <c r="A2" s="337"/>
      <c r="B2" s="31">
        <v>28</v>
      </c>
      <c r="C2" s="32">
        <v>4</v>
      </c>
      <c r="D2" s="32">
        <v>11</v>
      </c>
      <c r="E2" s="32">
        <v>18</v>
      </c>
      <c r="F2" s="32">
        <v>25</v>
      </c>
      <c r="G2" s="32">
        <v>1</v>
      </c>
      <c r="H2" s="32">
        <v>8</v>
      </c>
      <c r="I2" s="32">
        <v>15</v>
      </c>
      <c r="J2" s="32">
        <v>22</v>
      </c>
      <c r="K2" s="32">
        <v>1</v>
      </c>
      <c r="L2" s="32">
        <v>8</v>
      </c>
      <c r="M2" s="32">
        <v>15</v>
      </c>
      <c r="N2" s="32">
        <v>22</v>
      </c>
      <c r="O2" s="32">
        <v>29</v>
      </c>
      <c r="P2" s="32">
        <v>5</v>
      </c>
      <c r="Q2" s="32">
        <v>12</v>
      </c>
      <c r="R2" s="32">
        <v>19</v>
      </c>
      <c r="S2" s="32">
        <v>26</v>
      </c>
      <c r="T2" s="32">
        <v>3</v>
      </c>
      <c r="U2" s="32">
        <v>10</v>
      </c>
      <c r="V2" s="32">
        <v>17</v>
      </c>
      <c r="W2" s="32">
        <v>24</v>
      </c>
      <c r="X2" s="32">
        <v>31</v>
      </c>
      <c r="Y2" s="32">
        <v>7</v>
      </c>
      <c r="Z2" s="32">
        <v>14</v>
      </c>
      <c r="AA2" s="32">
        <v>21</v>
      </c>
      <c r="AB2" s="32">
        <v>28</v>
      </c>
      <c r="AC2" s="32">
        <v>5</v>
      </c>
      <c r="AD2" s="32">
        <v>12</v>
      </c>
      <c r="AE2" s="32">
        <v>19</v>
      </c>
      <c r="AF2" s="32">
        <v>26</v>
      </c>
      <c r="AG2" s="32">
        <v>2</v>
      </c>
      <c r="AH2" s="32">
        <v>9</v>
      </c>
      <c r="AI2" s="32">
        <v>16</v>
      </c>
      <c r="AJ2" s="32">
        <v>23</v>
      </c>
      <c r="AK2" s="32">
        <v>30</v>
      </c>
      <c r="AL2" s="32">
        <v>6</v>
      </c>
      <c r="AM2" s="32">
        <v>13</v>
      </c>
      <c r="AN2" s="32">
        <v>20</v>
      </c>
      <c r="AO2" s="32">
        <v>27</v>
      </c>
      <c r="AP2" s="32">
        <v>4</v>
      </c>
      <c r="AQ2" s="32">
        <v>11</v>
      </c>
      <c r="AR2" s="32">
        <v>18</v>
      </c>
      <c r="AS2" s="32">
        <v>25</v>
      </c>
      <c r="AT2" s="32">
        <v>1</v>
      </c>
      <c r="AU2" s="32">
        <v>8</v>
      </c>
      <c r="AV2" s="32">
        <v>15</v>
      </c>
      <c r="AW2" s="32">
        <v>22</v>
      </c>
      <c r="AX2" s="32">
        <v>29</v>
      </c>
      <c r="AY2" s="32">
        <v>6</v>
      </c>
      <c r="AZ2" s="32">
        <v>13</v>
      </c>
      <c r="BA2" s="33">
        <v>20</v>
      </c>
      <c r="BB2" s="332"/>
      <c r="BC2" s="327"/>
    </row>
    <row r="3" spans="1:57" ht="16.5" customHeight="1">
      <c r="A3" s="26" t="s">
        <v>25</v>
      </c>
      <c r="B3" s="14"/>
      <c r="C3" s="3"/>
      <c r="D3" s="3"/>
      <c r="E3" s="3"/>
      <c r="F3" s="1"/>
      <c r="G3" s="2"/>
      <c r="H3" s="3"/>
      <c r="I3" s="3"/>
      <c r="J3" s="1"/>
      <c r="K3" s="2"/>
      <c r="L3" s="3"/>
      <c r="M3" s="3"/>
      <c r="N3" s="1"/>
      <c r="O3" s="2"/>
      <c r="P3" s="3"/>
      <c r="Q3" s="3"/>
      <c r="R3" s="1"/>
      <c r="S3" s="2"/>
      <c r="T3" s="3"/>
      <c r="U3" s="3"/>
      <c r="V3" s="3"/>
      <c r="W3" s="1"/>
      <c r="X3" s="2"/>
      <c r="Y3" s="3"/>
      <c r="Z3" s="3"/>
      <c r="AA3" s="1"/>
      <c r="AB3" s="2"/>
      <c r="AC3" s="3"/>
      <c r="AD3" s="3"/>
      <c r="AE3" s="1"/>
      <c r="AF3" s="2"/>
      <c r="AG3" s="3"/>
      <c r="AH3" s="3"/>
      <c r="AI3" s="3"/>
      <c r="AJ3" s="1"/>
      <c r="AK3" s="2"/>
      <c r="AL3" s="3"/>
      <c r="AM3" s="3"/>
      <c r="AN3" s="1"/>
      <c r="AO3" s="2"/>
      <c r="AP3" s="3"/>
      <c r="AQ3" s="3"/>
      <c r="AR3" s="3"/>
      <c r="AS3" s="1"/>
      <c r="AT3" s="2"/>
      <c r="AU3" s="3"/>
      <c r="AV3" s="3"/>
      <c r="AW3" s="1"/>
      <c r="AX3" s="2"/>
      <c r="AY3" s="3"/>
      <c r="AZ3" s="3"/>
      <c r="BA3" s="4"/>
      <c r="BB3" s="37"/>
      <c r="BC3" s="46"/>
    </row>
    <row r="4" spans="1:57" ht="16.5" customHeight="1">
      <c r="A4" s="52" t="s">
        <v>14</v>
      </c>
      <c r="B4" s="14"/>
      <c r="C4" s="3"/>
      <c r="D4" s="3"/>
      <c r="E4" s="3"/>
      <c r="F4" s="1"/>
      <c r="G4" s="2"/>
      <c r="H4" s="3"/>
      <c r="I4" s="3"/>
      <c r="J4" s="1"/>
      <c r="K4" s="2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3"/>
      <c r="AS4" s="1"/>
      <c r="AT4" s="2"/>
      <c r="AU4" s="3"/>
      <c r="AV4" s="3"/>
      <c r="AW4" s="1"/>
      <c r="AX4" s="2"/>
      <c r="AY4" s="3"/>
      <c r="AZ4" s="3"/>
      <c r="BA4" s="4"/>
      <c r="BB4" s="35"/>
      <c r="BC4" s="44"/>
    </row>
    <row r="5" spans="1:57">
      <c r="A5" s="181" t="s">
        <v>0</v>
      </c>
      <c r="B5" s="345">
        <v>293</v>
      </c>
      <c r="C5" s="289"/>
      <c r="D5" s="289"/>
      <c r="E5" s="289"/>
      <c r="F5" s="298"/>
      <c r="G5" s="297">
        <v>329</v>
      </c>
      <c r="H5" s="289"/>
      <c r="I5" s="289"/>
      <c r="J5" s="298"/>
      <c r="K5" s="297">
        <v>166</v>
      </c>
      <c r="L5" s="289"/>
      <c r="M5" s="289"/>
      <c r="N5" s="298"/>
      <c r="O5" s="297">
        <v>163</v>
      </c>
      <c r="P5" s="289"/>
      <c r="Q5" s="289"/>
      <c r="R5" s="298"/>
      <c r="S5" s="297">
        <v>333</v>
      </c>
      <c r="T5" s="289"/>
      <c r="U5" s="289"/>
      <c r="V5" s="289"/>
      <c r="W5" s="298"/>
      <c r="X5" s="297"/>
      <c r="Y5" s="289"/>
      <c r="Z5" s="289"/>
      <c r="AA5" s="298"/>
      <c r="AB5" s="297"/>
      <c r="AC5" s="289"/>
      <c r="AD5" s="289"/>
      <c r="AE5" s="298"/>
      <c r="AF5" s="297">
        <v>191</v>
      </c>
      <c r="AG5" s="289"/>
      <c r="AH5" s="289"/>
      <c r="AI5" s="289"/>
      <c r="AJ5" s="298"/>
      <c r="AK5" s="297">
        <v>171</v>
      </c>
      <c r="AL5" s="289"/>
      <c r="AM5" s="289"/>
      <c r="AN5" s="298"/>
      <c r="AO5" s="297"/>
      <c r="AP5" s="289"/>
      <c r="AQ5" s="289"/>
      <c r="AR5" s="289"/>
      <c r="AS5" s="298"/>
      <c r="AT5" s="297"/>
      <c r="AU5" s="289"/>
      <c r="AV5" s="289"/>
      <c r="AW5" s="289"/>
      <c r="AX5" s="297"/>
      <c r="AY5" s="289"/>
      <c r="AZ5" s="289"/>
      <c r="BA5" s="290"/>
      <c r="BB5" s="189">
        <v>1646</v>
      </c>
      <c r="BC5" s="190"/>
    </row>
    <row r="6" spans="1:57" ht="16.5" customHeight="1">
      <c r="A6" s="49" t="s">
        <v>72</v>
      </c>
      <c r="B6" s="311">
        <f>(789814+810125+865845)</f>
        <v>2465784</v>
      </c>
      <c r="C6" s="311"/>
      <c r="D6" s="311"/>
      <c r="E6" s="311"/>
      <c r="F6" s="312"/>
      <c r="G6" s="310">
        <f>(855566+554974+653510+658853)</f>
        <v>2722903</v>
      </c>
      <c r="H6" s="311"/>
      <c r="I6" s="311"/>
      <c r="J6" s="312"/>
      <c r="K6" s="310">
        <f>(34119+436945+406866+543301)</f>
        <v>1421231</v>
      </c>
      <c r="L6" s="311"/>
      <c r="M6" s="311"/>
      <c r="N6" s="312"/>
      <c r="O6" s="310">
        <f>(665286+460843+409914+3045)</f>
        <v>1539088</v>
      </c>
      <c r="P6" s="311"/>
      <c r="Q6" s="311"/>
      <c r="R6" s="312"/>
      <c r="S6" s="310">
        <f>(452969+388041+704867+794549+765233)</f>
        <v>3105659</v>
      </c>
      <c r="T6" s="311"/>
      <c r="U6" s="311"/>
      <c r="V6" s="311"/>
      <c r="W6" s="312"/>
      <c r="X6" s="310"/>
      <c r="Y6" s="311"/>
      <c r="Z6" s="311"/>
      <c r="AA6" s="312"/>
      <c r="AB6" s="310"/>
      <c r="AC6" s="311"/>
      <c r="AD6" s="311"/>
      <c r="AE6" s="312"/>
      <c r="AF6" s="310">
        <f>(582637+583482+515392)</f>
        <v>1681511</v>
      </c>
      <c r="AG6" s="311"/>
      <c r="AH6" s="311"/>
      <c r="AI6" s="311"/>
      <c r="AJ6" s="312"/>
      <c r="AK6" s="310">
        <f>(591076+473903+391767)</f>
        <v>1456746</v>
      </c>
      <c r="AL6" s="311"/>
      <c r="AM6" s="311"/>
      <c r="AN6" s="312"/>
      <c r="AO6" s="310"/>
      <c r="AP6" s="311"/>
      <c r="AQ6" s="311"/>
      <c r="AR6" s="311"/>
      <c r="AS6" s="312"/>
      <c r="AT6" s="310"/>
      <c r="AU6" s="311"/>
      <c r="AV6" s="311"/>
      <c r="AW6" s="312"/>
      <c r="AX6" s="313"/>
      <c r="AY6" s="314"/>
      <c r="AZ6" s="314"/>
      <c r="BA6" s="314"/>
      <c r="BB6" s="36">
        <v>1646</v>
      </c>
      <c r="BC6" s="95">
        <f>SUM(B6:BA6)</f>
        <v>14392922</v>
      </c>
      <c r="BD6" s="57"/>
      <c r="BE6" s="57"/>
    </row>
    <row r="7" spans="1:57" ht="16.5" customHeight="1">
      <c r="A7" s="29"/>
      <c r="B7" s="14"/>
      <c r="C7" s="3"/>
      <c r="D7" s="3"/>
      <c r="E7" s="3"/>
      <c r="F7" s="1"/>
      <c r="G7" s="2"/>
      <c r="H7" s="3"/>
      <c r="I7" s="3"/>
      <c r="J7" s="1"/>
      <c r="K7" s="2"/>
      <c r="L7" s="3"/>
      <c r="M7" s="3"/>
      <c r="N7" s="1"/>
      <c r="O7" s="2"/>
      <c r="P7" s="3"/>
      <c r="Q7" s="3"/>
      <c r="R7" s="1"/>
      <c r="S7" s="2"/>
      <c r="T7" s="3"/>
      <c r="U7" s="3"/>
      <c r="V7" s="3"/>
      <c r="W7" s="1"/>
      <c r="X7" s="2"/>
      <c r="Y7" s="3"/>
      <c r="Z7" s="3"/>
      <c r="AA7" s="1"/>
      <c r="AB7" s="2"/>
      <c r="AC7" s="3"/>
      <c r="AD7" s="3"/>
      <c r="AE7" s="1"/>
      <c r="AF7" s="2"/>
      <c r="AG7" s="3"/>
      <c r="AH7" s="3"/>
      <c r="AI7" s="3"/>
      <c r="AJ7" s="1"/>
      <c r="AK7" s="2"/>
      <c r="AL7" s="3"/>
      <c r="AM7" s="3"/>
      <c r="AN7" s="1"/>
      <c r="AO7" s="2"/>
      <c r="AP7" s="3"/>
      <c r="AQ7" s="3"/>
      <c r="AR7" s="3"/>
      <c r="AS7" s="1"/>
      <c r="AT7" s="2"/>
      <c r="AU7" s="3"/>
      <c r="AV7" s="3"/>
      <c r="AW7" s="1"/>
      <c r="AX7" s="2"/>
      <c r="AY7" s="3"/>
      <c r="AZ7" s="3"/>
      <c r="BA7" s="4"/>
      <c r="BB7" s="58"/>
      <c r="BC7" s="62"/>
    </row>
    <row r="8" spans="1:57" ht="16.5" customHeight="1">
      <c r="A8" s="52" t="s">
        <v>27</v>
      </c>
      <c r="B8" s="2"/>
      <c r="C8" s="3"/>
      <c r="D8" s="3"/>
      <c r="E8" s="3"/>
      <c r="F8" s="1"/>
      <c r="G8" s="2"/>
      <c r="H8" s="3"/>
      <c r="I8" s="3"/>
      <c r="J8" s="1"/>
      <c r="K8" s="2"/>
      <c r="L8" s="3"/>
      <c r="M8" s="3"/>
      <c r="N8" s="1"/>
      <c r="O8" s="2"/>
      <c r="P8" s="3"/>
      <c r="Q8" s="3"/>
      <c r="R8" s="1"/>
      <c r="S8" s="2"/>
      <c r="T8" s="3"/>
      <c r="U8" s="3"/>
      <c r="V8" s="3"/>
      <c r="W8" s="1"/>
      <c r="X8" s="2"/>
      <c r="Y8" s="3"/>
      <c r="Z8" s="3"/>
      <c r="AA8" s="1"/>
      <c r="AB8" s="2"/>
      <c r="AC8" s="3"/>
      <c r="AD8" s="3"/>
      <c r="AE8" s="1"/>
      <c r="AF8" s="2"/>
      <c r="AG8" s="3"/>
      <c r="AH8" s="3"/>
      <c r="AI8" s="3"/>
      <c r="AJ8" s="1"/>
      <c r="AK8" s="2"/>
      <c r="AL8" s="3"/>
      <c r="AM8" s="3"/>
      <c r="AN8" s="1"/>
      <c r="AO8" s="2"/>
      <c r="AP8" s="3"/>
      <c r="AQ8" s="3"/>
      <c r="AR8" s="3"/>
      <c r="AS8" s="1"/>
      <c r="AT8" s="2"/>
      <c r="AU8" s="3"/>
      <c r="AV8" s="3"/>
      <c r="AW8" s="1"/>
      <c r="AX8" s="2"/>
      <c r="AY8" s="3"/>
      <c r="AZ8" s="3"/>
      <c r="BA8" s="1"/>
      <c r="BB8" s="93"/>
      <c r="BC8" s="94"/>
    </row>
    <row r="9" spans="1:57">
      <c r="A9" s="181" t="s">
        <v>0</v>
      </c>
      <c r="B9" s="345">
        <v>3</v>
      </c>
      <c r="C9" s="289"/>
      <c r="D9" s="289"/>
      <c r="E9" s="289"/>
      <c r="F9" s="298"/>
      <c r="G9" s="297">
        <v>96</v>
      </c>
      <c r="H9" s="289"/>
      <c r="I9" s="289"/>
      <c r="J9" s="298"/>
      <c r="K9" s="297">
        <v>134</v>
      </c>
      <c r="L9" s="289"/>
      <c r="M9" s="289"/>
      <c r="N9" s="298"/>
      <c r="O9" s="297">
        <v>205</v>
      </c>
      <c r="P9" s="289"/>
      <c r="Q9" s="289"/>
      <c r="R9" s="298"/>
      <c r="S9" s="297">
        <v>158</v>
      </c>
      <c r="T9" s="289"/>
      <c r="U9" s="289"/>
      <c r="V9" s="289"/>
      <c r="W9" s="298"/>
      <c r="X9" s="297"/>
      <c r="Y9" s="289"/>
      <c r="Z9" s="289"/>
      <c r="AA9" s="298"/>
      <c r="AB9" s="297"/>
      <c r="AC9" s="289"/>
      <c r="AD9" s="289"/>
      <c r="AE9" s="298"/>
      <c r="AF9" s="297">
        <v>130</v>
      </c>
      <c r="AG9" s="289"/>
      <c r="AH9" s="289"/>
      <c r="AI9" s="289"/>
      <c r="AJ9" s="298"/>
      <c r="AK9" s="297">
        <v>77</v>
      </c>
      <c r="AL9" s="289"/>
      <c r="AM9" s="289"/>
      <c r="AN9" s="298"/>
      <c r="AO9" s="297"/>
      <c r="AP9" s="289"/>
      <c r="AQ9" s="289"/>
      <c r="AR9" s="289"/>
      <c r="AS9" s="298"/>
      <c r="AT9" s="297"/>
      <c r="AU9" s="289"/>
      <c r="AV9" s="289"/>
      <c r="AW9" s="289"/>
      <c r="AX9" s="297"/>
      <c r="AY9" s="289"/>
      <c r="AZ9" s="289"/>
      <c r="BA9" s="290"/>
      <c r="BB9" s="189">
        <v>803</v>
      </c>
      <c r="BC9" s="190"/>
    </row>
    <row r="10" spans="1:57" ht="16.5" customHeight="1">
      <c r="A10" s="49" t="s">
        <v>72</v>
      </c>
      <c r="B10" s="311">
        <f>(63600+52100)</f>
        <v>115700</v>
      </c>
      <c r="C10" s="311"/>
      <c r="D10" s="311"/>
      <c r="E10" s="311"/>
      <c r="F10" s="312"/>
      <c r="G10" s="310">
        <f>(729200+709000+1637400)</f>
        <v>3075600</v>
      </c>
      <c r="H10" s="311"/>
      <c r="I10" s="311"/>
      <c r="J10" s="312"/>
      <c r="K10" s="310">
        <f>2263.95*2*1000</f>
        <v>4527900</v>
      </c>
      <c r="L10" s="311"/>
      <c r="M10" s="311"/>
      <c r="N10" s="312"/>
      <c r="O10" s="310">
        <f>6793.4*1000</f>
        <v>6793400</v>
      </c>
      <c r="P10" s="311"/>
      <c r="Q10" s="311"/>
      <c r="R10" s="312"/>
      <c r="S10" s="310">
        <f>(955706+1215600+878000+695200+238100)</f>
        <v>3982606</v>
      </c>
      <c r="T10" s="311"/>
      <c r="U10" s="311"/>
      <c r="V10" s="311"/>
      <c r="W10" s="312"/>
      <c r="X10" s="310"/>
      <c r="Y10" s="311"/>
      <c r="Z10" s="311"/>
      <c r="AA10" s="312"/>
      <c r="AB10" s="310"/>
      <c r="AC10" s="311"/>
      <c r="AD10" s="311"/>
      <c r="AE10" s="312"/>
      <c r="AF10" s="310">
        <f>(451400+379000+488000)</f>
        <v>1318400</v>
      </c>
      <c r="AG10" s="311"/>
      <c r="AH10" s="311"/>
      <c r="AI10" s="311"/>
      <c r="AJ10" s="312"/>
      <c r="AK10" s="310">
        <f>(242500+208600+219900)</f>
        <v>671000</v>
      </c>
      <c r="AL10" s="311"/>
      <c r="AM10" s="311"/>
      <c r="AN10" s="312"/>
      <c r="AO10" s="310"/>
      <c r="AP10" s="311"/>
      <c r="AQ10" s="311"/>
      <c r="AR10" s="311"/>
      <c r="AS10" s="312"/>
      <c r="AT10" s="310"/>
      <c r="AU10" s="311"/>
      <c r="AV10" s="311"/>
      <c r="AW10" s="312"/>
      <c r="AX10" s="313"/>
      <c r="AY10" s="314"/>
      <c r="AZ10" s="314"/>
      <c r="BA10" s="314"/>
      <c r="BB10" s="38">
        <v>803</v>
      </c>
      <c r="BC10" s="95">
        <f>SUM(B10:BA10)</f>
        <v>20484606</v>
      </c>
      <c r="BD10" s="57"/>
      <c r="BE10" s="57"/>
    </row>
    <row r="11" spans="1:57" ht="16.5" customHeight="1">
      <c r="A11" s="53"/>
      <c r="B11" s="14"/>
      <c r="C11" s="3"/>
      <c r="D11" s="3"/>
      <c r="E11" s="3"/>
      <c r="F11" s="1"/>
      <c r="G11" s="2"/>
      <c r="H11" s="3"/>
      <c r="I11" s="3"/>
      <c r="J11" s="1"/>
      <c r="K11" s="2"/>
      <c r="L11" s="3"/>
      <c r="M11" s="3"/>
      <c r="N11" s="1"/>
      <c r="O11" s="2"/>
      <c r="P11" s="3"/>
      <c r="Q11" s="3"/>
      <c r="R11" s="1"/>
      <c r="S11" s="2"/>
      <c r="T11" s="3"/>
      <c r="U11" s="3"/>
      <c r="V11" s="3"/>
      <c r="W11" s="1"/>
      <c r="X11" s="2"/>
      <c r="Y11" s="3"/>
      <c r="Z11" s="3"/>
      <c r="AA11" s="1"/>
      <c r="AB11" s="2"/>
      <c r="AC11" s="3"/>
      <c r="AD11" s="3"/>
      <c r="AE11" s="1"/>
      <c r="AF11" s="2"/>
      <c r="AG11" s="3"/>
      <c r="AH11" s="3"/>
      <c r="AI11" s="3"/>
      <c r="AJ11" s="1"/>
      <c r="AK11" s="2"/>
      <c r="AL11" s="3"/>
      <c r="AM11" s="3"/>
      <c r="AN11" s="1"/>
      <c r="AO11" s="2"/>
      <c r="AP11" s="3"/>
      <c r="AQ11" s="3"/>
      <c r="AR11" s="3"/>
      <c r="AS11" s="1"/>
      <c r="AT11" s="2"/>
      <c r="AU11" s="3"/>
      <c r="AV11" s="3"/>
      <c r="AW11" s="1"/>
      <c r="AX11" s="2"/>
      <c r="AY11" s="3"/>
      <c r="AZ11" s="3"/>
      <c r="BA11" s="4"/>
      <c r="BB11" s="59"/>
      <c r="BC11" s="63"/>
    </row>
    <row r="12" spans="1:57" ht="16.5" customHeight="1">
      <c r="A12" s="52" t="s">
        <v>19</v>
      </c>
      <c r="B12" s="14"/>
      <c r="C12" s="3"/>
      <c r="D12" s="3"/>
      <c r="E12" s="3"/>
      <c r="F12" s="1"/>
      <c r="G12" s="2">
        <v>1388.5730000000001</v>
      </c>
      <c r="H12" s="3"/>
      <c r="I12" s="3"/>
      <c r="J12" s="1"/>
      <c r="K12" s="2">
        <v>2990.33</v>
      </c>
      <c r="L12" s="3"/>
      <c r="M12" s="3"/>
      <c r="N12" s="1"/>
      <c r="O12" s="2">
        <f>(850681+815268+829842+3679)/1000</f>
        <v>2499.4699999999998</v>
      </c>
      <c r="P12" s="3"/>
      <c r="Q12" s="3"/>
      <c r="R12" s="1"/>
      <c r="S12" s="2">
        <f>(923897+885222+1020276)/1000</f>
        <v>2829.395</v>
      </c>
      <c r="T12" s="3"/>
      <c r="U12" s="3"/>
      <c r="V12" s="3"/>
      <c r="W12" s="1"/>
      <c r="X12" s="2"/>
      <c r="Y12" s="3"/>
      <c r="Z12" s="3"/>
      <c r="AA12" s="1"/>
      <c r="AB12" s="2"/>
      <c r="AC12" s="3"/>
      <c r="AD12" s="3"/>
      <c r="AE12" s="1"/>
      <c r="AF12" s="2"/>
      <c r="AG12" s="3"/>
      <c r="AH12" s="3"/>
      <c r="AI12" s="3"/>
      <c r="AJ12" s="1"/>
      <c r="AK12" s="2"/>
      <c r="AL12" s="3"/>
      <c r="AM12" s="3"/>
      <c r="AN12" s="1"/>
      <c r="AO12" s="2"/>
      <c r="AP12" s="3"/>
      <c r="AQ12" s="3"/>
      <c r="AR12" s="3"/>
      <c r="AS12" s="1"/>
      <c r="AT12" s="2"/>
      <c r="AU12" s="3"/>
      <c r="AV12" s="3"/>
      <c r="AW12" s="1"/>
      <c r="AX12" s="2"/>
      <c r="AY12" s="3"/>
      <c r="AZ12" s="3"/>
      <c r="BA12" s="4"/>
      <c r="BB12" s="35"/>
      <c r="BC12" s="44"/>
    </row>
    <row r="13" spans="1:57">
      <c r="A13" s="181" t="s">
        <v>0</v>
      </c>
      <c r="B13" s="345"/>
      <c r="C13" s="289"/>
      <c r="D13" s="289"/>
      <c r="E13" s="289"/>
      <c r="F13" s="298"/>
      <c r="G13" s="297"/>
      <c r="H13" s="289"/>
      <c r="I13" s="289"/>
      <c r="J13" s="298"/>
      <c r="K13" s="297"/>
      <c r="L13" s="289"/>
      <c r="M13" s="289"/>
      <c r="N13" s="298"/>
      <c r="O13" s="297">
        <v>2</v>
      </c>
      <c r="P13" s="289"/>
      <c r="Q13" s="289"/>
      <c r="R13" s="298"/>
      <c r="S13" s="297">
        <v>3</v>
      </c>
      <c r="T13" s="289"/>
      <c r="U13" s="289"/>
      <c r="V13" s="289"/>
      <c r="W13" s="298"/>
      <c r="X13" s="297"/>
      <c r="Y13" s="289"/>
      <c r="Z13" s="289"/>
      <c r="AA13" s="298"/>
      <c r="AB13" s="297"/>
      <c r="AC13" s="289"/>
      <c r="AD13" s="289"/>
      <c r="AE13" s="298"/>
      <c r="AF13" s="297"/>
      <c r="AG13" s="289"/>
      <c r="AH13" s="289"/>
      <c r="AI13" s="289"/>
      <c r="AJ13" s="298"/>
      <c r="AK13" s="297"/>
      <c r="AL13" s="289"/>
      <c r="AM13" s="289"/>
      <c r="AN13" s="298"/>
      <c r="AO13" s="297"/>
      <c r="AP13" s="289"/>
      <c r="AQ13" s="289"/>
      <c r="AR13" s="289"/>
      <c r="AS13" s="298"/>
      <c r="AT13" s="297"/>
      <c r="AU13" s="289"/>
      <c r="AV13" s="289"/>
      <c r="AW13" s="289"/>
      <c r="AX13" s="297"/>
      <c r="AY13" s="289"/>
      <c r="AZ13" s="289"/>
      <c r="BA13" s="290"/>
      <c r="BB13" s="189">
        <v>5</v>
      </c>
      <c r="BC13" s="190"/>
    </row>
    <row r="14" spans="1:57" ht="16.5" customHeight="1">
      <c r="A14" s="49" t="s">
        <v>72</v>
      </c>
      <c r="B14" s="311"/>
      <c r="C14" s="311"/>
      <c r="D14" s="311"/>
      <c r="E14" s="311"/>
      <c r="F14" s="312"/>
      <c r="G14" s="310">
        <f>(21+525+3439+5758)</f>
        <v>9743</v>
      </c>
      <c r="H14" s="311"/>
      <c r="I14" s="311"/>
      <c r="J14" s="312"/>
      <c r="K14" s="310">
        <f>(2210+1464+2673+2321)</f>
        <v>8668</v>
      </c>
      <c r="L14" s="311"/>
      <c r="M14" s="311"/>
      <c r="N14" s="312"/>
      <c r="O14" s="310">
        <f>(12231+10849+36+2)</f>
        <v>23118</v>
      </c>
      <c r="P14" s="311"/>
      <c r="Q14" s="311"/>
      <c r="R14" s="312"/>
      <c r="S14" s="310">
        <f>(30+10622+11346+11273+512)</f>
        <v>33783</v>
      </c>
      <c r="T14" s="311"/>
      <c r="U14" s="311"/>
      <c r="V14" s="311"/>
      <c r="W14" s="312"/>
      <c r="X14" s="310"/>
      <c r="Y14" s="311"/>
      <c r="Z14" s="311"/>
      <c r="AA14" s="312"/>
      <c r="AB14" s="310"/>
      <c r="AC14" s="311"/>
      <c r="AD14" s="311"/>
      <c r="AE14" s="312"/>
      <c r="AF14" s="310">
        <f>(42+2652+2300+2785)</f>
        <v>7779</v>
      </c>
      <c r="AG14" s="311"/>
      <c r="AH14" s="311"/>
      <c r="AI14" s="311"/>
      <c r="AJ14" s="312"/>
      <c r="AK14" s="310">
        <f>(3542+5179+3148+188)</f>
        <v>12057</v>
      </c>
      <c r="AL14" s="311"/>
      <c r="AM14" s="311"/>
      <c r="AN14" s="312"/>
      <c r="AO14" s="310">
        <f>(162+22)</f>
        <v>184</v>
      </c>
      <c r="AP14" s="311"/>
      <c r="AQ14" s="311"/>
      <c r="AR14" s="311"/>
      <c r="AS14" s="312"/>
      <c r="AT14" s="310"/>
      <c r="AU14" s="311"/>
      <c r="AV14" s="311"/>
      <c r="AW14" s="312"/>
      <c r="AX14" s="313"/>
      <c r="AY14" s="314"/>
      <c r="AZ14" s="314"/>
      <c r="BA14" s="314"/>
      <c r="BB14" s="36">
        <v>5</v>
      </c>
      <c r="BC14" s="95">
        <f>SUM(B14:BA14)</f>
        <v>95332</v>
      </c>
      <c r="BD14" s="57"/>
      <c r="BE14" s="57"/>
    </row>
    <row r="15" spans="1:57" ht="16.5" customHeight="1">
      <c r="A15" s="53"/>
      <c r="B15" s="14"/>
      <c r="C15" s="3"/>
      <c r="D15" s="3"/>
      <c r="E15" s="3"/>
      <c r="F15" s="1"/>
      <c r="G15" s="2"/>
      <c r="H15" s="3"/>
      <c r="I15" s="3"/>
      <c r="J15" s="1"/>
      <c r="K15" s="2"/>
      <c r="L15" s="3"/>
      <c r="M15" s="3"/>
      <c r="N15" s="1"/>
      <c r="O15" s="2"/>
      <c r="P15" s="3"/>
      <c r="Q15" s="3"/>
      <c r="R15" s="1"/>
      <c r="S15" s="2"/>
      <c r="T15" s="3"/>
      <c r="U15" s="3"/>
      <c r="V15" s="3"/>
      <c r="W15" s="1"/>
      <c r="X15" s="2"/>
      <c r="Y15" s="3"/>
      <c r="Z15" s="3"/>
      <c r="AA15" s="1"/>
      <c r="AB15" s="2"/>
      <c r="AC15" s="3"/>
      <c r="AD15" s="3"/>
      <c r="AE15" s="1"/>
      <c r="AF15" s="2"/>
      <c r="AG15" s="3"/>
      <c r="AH15" s="3"/>
      <c r="AI15" s="3"/>
      <c r="AJ15" s="1"/>
      <c r="AK15" s="2"/>
      <c r="AL15" s="3"/>
      <c r="AM15" s="3"/>
      <c r="AN15" s="1"/>
      <c r="AO15" s="2"/>
      <c r="AP15" s="3"/>
      <c r="AQ15" s="3"/>
      <c r="AR15" s="3"/>
      <c r="AS15" s="1"/>
      <c r="AT15" s="2"/>
      <c r="AU15" s="3"/>
      <c r="AV15" s="3"/>
      <c r="AW15" s="1"/>
      <c r="AX15" s="2"/>
      <c r="AY15" s="3"/>
      <c r="AZ15" s="3"/>
      <c r="BA15" s="4"/>
      <c r="BB15" s="60"/>
      <c r="BC15" s="64"/>
    </row>
    <row r="16" spans="1:57" ht="16.5" customHeight="1">
      <c r="A16" s="52" t="s">
        <v>20</v>
      </c>
      <c r="B16" s="14"/>
      <c r="C16" s="3"/>
      <c r="D16" s="3"/>
      <c r="E16" s="3"/>
      <c r="F16" s="1"/>
      <c r="G16" s="2"/>
      <c r="H16" s="3"/>
      <c r="I16" s="3"/>
      <c r="J16" s="1"/>
      <c r="K16" s="2"/>
      <c r="L16" s="3"/>
      <c r="M16" s="3"/>
      <c r="N16" s="1"/>
      <c r="O16" s="2"/>
      <c r="P16" s="3"/>
      <c r="Q16" s="3"/>
      <c r="R16" s="1"/>
      <c r="S16" s="2"/>
      <c r="T16" s="3"/>
      <c r="U16" s="3"/>
      <c r="V16" s="3"/>
      <c r="W16" s="1"/>
      <c r="X16" s="2"/>
      <c r="Y16" s="3"/>
      <c r="Z16" s="3"/>
      <c r="AA16" s="1"/>
      <c r="AB16" s="2"/>
      <c r="AC16" s="3"/>
      <c r="AD16" s="3"/>
      <c r="AE16" s="1"/>
      <c r="AF16" s="2"/>
      <c r="AG16" s="3"/>
      <c r="AH16" s="3"/>
      <c r="AI16" s="3"/>
      <c r="AJ16" s="1"/>
      <c r="AK16" s="2"/>
      <c r="AL16" s="3"/>
      <c r="AM16" s="3"/>
      <c r="AN16" s="1"/>
      <c r="AO16" s="2"/>
      <c r="AP16" s="3"/>
      <c r="AQ16" s="3"/>
      <c r="AR16" s="3"/>
      <c r="AS16" s="1"/>
      <c r="AT16" s="2"/>
      <c r="AU16" s="3"/>
      <c r="AV16" s="3"/>
      <c r="AW16" s="1"/>
      <c r="AX16" s="2"/>
      <c r="AY16" s="3"/>
      <c r="AZ16" s="3"/>
      <c r="BA16" s="4"/>
      <c r="BB16" s="35"/>
      <c r="BC16" s="44"/>
    </row>
    <row r="17" spans="1:57">
      <c r="A17" s="181" t="s">
        <v>0</v>
      </c>
      <c r="B17" s="345"/>
      <c r="C17" s="289"/>
      <c r="D17" s="289"/>
      <c r="E17" s="289"/>
      <c r="F17" s="298"/>
      <c r="G17" s="297">
        <v>36</v>
      </c>
      <c r="H17" s="289"/>
      <c r="I17" s="289"/>
      <c r="J17" s="298"/>
      <c r="K17" s="297">
        <v>41</v>
      </c>
      <c r="L17" s="289"/>
      <c r="M17" s="289"/>
      <c r="N17" s="298"/>
      <c r="O17" s="297"/>
      <c r="P17" s="289"/>
      <c r="Q17" s="289"/>
      <c r="R17" s="298"/>
      <c r="S17" s="297"/>
      <c r="T17" s="289"/>
      <c r="U17" s="289"/>
      <c r="V17" s="289"/>
      <c r="W17" s="298"/>
      <c r="X17" s="297"/>
      <c r="Y17" s="289"/>
      <c r="Z17" s="289"/>
      <c r="AA17" s="298"/>
      <c r="AB17" s="297"/>
      <c r="AC17" s="289"/>
      <c r="AD17" s="289"/>
      <c r="AE17" s="298"/>
      <c r="AF17" s="297">
        <v>13</v>
      </c>
      <c r="AG17" s="289"/>
      <c r="AH17" s="289"/>
      <c r="AI17" s="289"/>
      <c r="AJ17" s="298"/>
      <c r="AK17" s="297">
        <v>14</v>
      </c>
      <c r="AL17" s="289"/>
      <c r="AM17" s="289"/>
      <c r="AN17" s="298"/>
      <c r="AO17" s="297"/>
      <c r="AP17" s="289"/>
      <c r="AQ17" s="289"/>
      <c r="AR17" s="289"/>
      <c r="AS17" s="298"/>
      <c r="AT17" s="297"/>
      <c r="AU17" s="289"/>
      <c r="AV17" s="289"/>
      <c r="AW17" s="289"/>
      <c r="AX17" s="297"/>
      <c r="AY17" s="289"/>
      <c r="AZ17" s="289"/>
      <c r="BA17" s="290"/>
      <c r="BB17" s="189">
        <v>104</v>
      </c>
      <c r="BC17" s="190"/>
    </row>
    <row r="18" spans="1:57" ht="16.5" customHeight="1">
      <c r="A18" s="49" t="s">
        <v>72</v>
      </c>
      <c r="B18" s="311"/>
      <c r="C18" s="311"/>
      <c r="D18" s="311"/>
      <c r="E18" s="311"/>
      <c r="F18" s="312"/>
      <c r="G18" s="310">
        <f>(149681+291712+286681)</f>
        <v>728074</v>
      </c>
      <c r="H18" s="311"/>
      <c r="I18" s="311"/>
      <c r="J18" s="312"/>
      <c r="K18" s="310">
        <f>(386728+176468+228368)</f>
        <v>791564</v>
      </c>
      <c r="L18" s="311"/>
      <c r="M18" s="311"/>
      <c r="N18" s="312"/>
      <c r="O18" s="310"/>
      <c r="P18" s="311"/>
      <c r="Q18" s="311"/>
      <c r="R18" s="312"/>
      <c r="S18" s="310"/>
      <c r="T18" s="311"/>
      <c r="U18" s="311"/>
      <c r="V18" s="311"/>
      <c r="W18" s="312"/>
      <c r="X18" s="310"/>
      <c r="Y18" s="311"/>
      <c r="Z18" s="311"/>
      <c r="AA18" s="312"/>
      <c r="AB18" s="310"/>
      <c r="AC18" s="311"/>
      <c r="AD18" s="311"/>
      <c r="AE18" s="312"/>
      <c r="AF18" s="310">
        <f>(27189+23473+28997)</f>
        <v>79659</v>
      </c>
      <c r="AG18" s="311"/>
      <c r="AH18" s="311"/>
      <c r="AI18" s="311"/>
      <c r="AJ18" s="312"/>
      <c r="AK18" s="310">
        <f>(66120+56460+81380)</f>
        <v>203960</v>
      </c>
      <c r="AL18" s="311"/>
      <c r="AM18" s="311"/>
      <c r="AN18" s="312"/>
      <c r="AO18" s="310"/>
      <c r="AP18" s="311"/>
      <c r="AQ18" s="311"/>
      <c r="AR18" s="311"/>
      <c r="AS18" s="312"/>
      <c r="AT18" s="310"/>
      <c r="AU18" s="311"/>
      <c r="AV18" s="311"/>
      <c r="AW18" s="312"/>
      <c r="AX18" s="313"/>
      <c r="AY18" s="314"/>
      <c r="AZ18" s="314"/>
      <c r="BA18" s="314"/>
      <c r="BB18" s="38">
        <v>104</v>
      </c>
      <c r="BC18" s="95">
        <f>SUM(B18:BA18)</f>
        <v>1803257</v>
      </c>
      <c r="BD18" s="57"/>
      <c r="BE18" s="57"/>
    </row>
    <row r="19" spans="1:57" ht="16.5" customHeight="1">
      <c r="A19" s="50" t="s">
        <v>26</v>
      </c>
      <c r="B19" s="14"/>
      <c r="C19" s="3"/>
      <c r="D19" s="3"/>
      <c r="E19" s="3"/>
      <c r="F19" s="1"/>
      <c r="G19" s="2"/>
      <c r="H19" s="3"/>
      <c r="I19" s="3"/>
      <c r="J19" s="1"/>
      <c r="K19" s="2"/>
      <c r="L19" s="3"/>
      <c r="M19" s="3"/>
      <c r="N19" s="1"/>
      <c r="O19" s="2"/>
      <c r="P19" s="3"/>
      <c r="Q19" s="3"/>
      <c r="R19" s="1"/>
      <c r="S19" s="2"/>
      <c r="T19" s="3"/>
      <c r="U19" s="3"/>
      <c r="V19" s="3"/>
      <c r="W19" s="1"/>
      <c r="X19" s="2"/>
      <c r="Y19" s="3"/>
      <c r="Z19" s="3"/>
      <c r="AA19" s="1"/>
      <c r="AB19" s="2"/>
      <c r="AC19" s="3"/>
      <c r="AD19" s="3"/>
      <c r="AE19" s="1"/>
      <c r="AF19" s="2"/>
      <c r="AG19" s="3"/>
      <c r="AH19" s="3"/>
      <c r="AI19" s="3"/>
      <c r="AJ19" s="1"/>
      <c r="AK19" s="2"/>
      <c r="AL19" s="3"/>
      <c r="AM19" s="3"/>
      <c r="AN19" s="1"/>
      <c r="AO19" s="2"/>
      <c r="AP19" s="3"/>
      <c r="AQ19" s="3"/>
      <c r="AR19" s="3"/>
      <c r="AS19" s="1"/>
      <c r="AT19" s="2"/>
      <c r="AU19" s="3"/>
      <c r="AV19" s="3"/>
      <c r="AW19" s="1"/>
      <c r="AX19" s="2"/>
      <c r="AY19" s="3"/>
      <c r="AZ19" s="3"/>
      <c r="BA19" s="4"/>
      <c r="BB19" s="61"/>
      <c r="BC19" s="63"/>
    </row>
    <row r="20" spans="1:57" ht="16.5" customHeight="1">
      <c r="A20" s="52" t="s">
        <v>16</v>
      </c>
      <c r="B20" s="14"/>
      <c r="C20" s="3"/>
      <c r="D20" s="3"/>
      <c r="E20" s="3"/>
      <c r="F20" s="1"/>
      <c r="G20" s="2"/>
      <c r="H20" s="3"/>
      <c r="I20" s="3"/>
      <c r="J20" s="1"/>
      <c r="K20" s="2"/>
      <c r="L20" s="3"/>
      <c r="M20" s="3"/>
      <c r="N20" s="1"/>
      <c r="O20" s="2"/>
      <c r="P20" s="3"/>
      <c r="Q20" s="3"/>
      <c r="R20" s="1"/>
      <c r="S20" s="2"/>
      <c r="T20" s="3"/>
      <c r="U20" s="3"/>
      <c r="V20" s="3"/>
      <c r="W20" s="1"/>
      <c r="X20" s="2"/>
      <c r="Y20" s="3"/>
      <c r="Z20" s="3"/>
      <c r="AA20" s="1"/>
      <c r="AB20" s="2"/>
      <c r="AC20" s="3"/>
      <c r="AD20" s="3"/>
      <c r="AE20" s="1"/>
      <c r="AF20" s="2"/>
      <c r="AG20" s="3"/>
      <c r="AH20" s="3"/>
      <c r="AI20" s="3"/>
      <c r="AJ20" s="1"/>
      <c r="AK20" s="2"/>
      <c r="AL20" s="3"/>
      <c r="AM20" s="3"/>
      <c r="AN20" s="1"/>
      <c r="AO20" s="2"/>
      <c r="AP20" s="3"/>
      <c r="AQ20" s="3"/>
      <c r="AR20" s="3"/>
      <c r="AS20" s="1"/>
      <c r="AT20" s="2"/>
      <c r="AU20" s="3"/>
      <c r="AV20" s="3"/>
      <c r="AW20" s="1"/>
      <c r="AX20" s="2"/>
      <c r="AY20" s="3"/>
      <c r="AZ20" s="3"/>
      <c r="BA20" s="4"/>
      <c r="BB20" s="35"/>
      <c r="BC20" s="44"/>
    </row>
    <row r="21" spans="1:57">
      <c r="A21" s="181" t="s">
        <v>0</v>
      </c>
      <c r="B21" s="345">
        <v>3</v>
      </c>
      <c r="C21" s="289"/>
      <c r="D21" s="289"/>
      <c r="E21" s="289"/>
      <c r="F21" s="298"/>
      <c r="G21" s="297">
        <v>3</v>
      </c>
      <c r="H21" s="289"/>
      <c r="I21" s="289"/>
      <c r="J21" s="298"/>
      <c r="K21" s="297">
        <v>3</v>
      </c>
      <c r="L21" s="289"/>
      <c r="M21" s="289"/>
      <c r="N21" s="298"/>
      <c r="O21" s="297">
        <v>3</v>
      </c>
      <c r="P21" s="289"/>
      <c r="Q21" s="289"/>
      <c r="R21" s="298"/>
      <c r="S21" s="297">
        <v>3</v>
      </c>
      <c r="T21" s="289"/>
      <c r="U21" s="289"/>
      <c r="V21" s="289"/>
      <c r="W21" s="298"/>
      <c r="X21" s="297">
        <v>3</v>
      </c>
      <c r="Y21" s="289"/>
      <c r="Z21" s="289"/>
      <c r="AA21" s="298"/>
      <c r="AB21" s="297">
        <v>3</v>
      </c>
      <c r="AC21" s="289"/>
      <c r="AD21" s="289"/>
      <c r="AE21" s="298"/>
      <c r="AF21" s="297"/>
      <c r="AG21" s="289"/>
      <c r="AH21" s="289"/>
      <c r="AI21" s="289"/>
      <c r="AJ21" s="298"/>
      <c r="AK21" s="297">
        <v>3</v>
      </c>
      <c r="AL21" s="289"/>
      <c r="AM21" s="289"/>
      <c r="AN21" s="298"/>
      <c r="AO21" s="297">
        <v>4</v>
      </c>
      <c r="AP21" s="289"/>
      <c r="AQ21" s="289"/>
      <c r="AR21" s="289"/>
      <c r="AS21" s="298"/>
      <c r="AT21" s="297">
        <v>4</v>
      </c>
      <c r="AU21" s="289"/>
      <c r="AV21" s="289"/>
      <c r="AW21" s="289"/>
      <c r="AX21" s="297"/>
      <c r="AY21" s="289"/>
      <c r="AZ21" s="289"/>
      <c r="BA21" s="290"/>
      <c r="BB21" s="189">
        <v>32</v>
      </c>
      <c r="BC21" s="190"/>
    </row>
    <row r="22" spans="1:57" ht="16.5" customHeight="1" thickBot="1">
      <c r="A22" s="49" t="s">
        <v>72</v>
      </c>
      <c r="B22" s="316">
        <f>230526</f>
        <v>230526</v>
      </c>
      <c r="C22" s="316"/>
      <c r="D22" s="316"/>
      <c r="E22" s="316"/>
      <c r="F22" s="317"/>
      <c r="G22" s="315">
        <f>230.526*1000</f>
        <v>230526</v>
      </c>
      <c r="H22" s="316"/>
      <c r="I22" s="316"/>
      <c r="J22" s="317"/>
      <c r="K22" s="315">
        <f>230.526*1000</f>
        <v>230526</v>
      </c>
      <c r="L22" s="316"/>
      <c r="M22" s="316"/>
      <c r="N22" s="317"/>
      <c r="O22" s="315">
        <f>230.526*1000</f>
        <v>230526</v>
      </c>
      <c r="P22" s="316"/>
      <c r="Q22" s="316"/>
      <c r="R22" s="317"/>
      <c r="S22" s="315">
        <f>230526</f>
        <v>230526</v>
      </c>
      <c r="T22" s="316"/>
      <c r="U22" s="316"/>
      <c r="V22" s="316"/>
      <c r="W22" s="317"/>
      <c r="X22" s="315">
        <f>230.526*1000</f>
        <v>230526</v>
      </c>
      <c r="Y22" s="316"/>
      <c r="Z22" s="316"/>
      <c r="AA22" s="317"/>
      <c r="AB22" s="315">
        <f>230.526*1000</f>
        <v>230526</v>
      </c>
      <c r="AC22" s="316"/>
      <c r="AD22" s="316"/>
      <c r="AE22" s="317"/>
      <c r="AF22" s="315"/>
      <c r="AG22" s="316"/>
      <c r="AH22" s="316"/>
      <c r="AI22" s="316"/>
      <c r="AJ22" s="317"/>
      <c r="AK22" s="315">
        <f>180938</f>
        <v>180938</v>
      </c>
      <c r="AL22" s="316"/>
      <c r="AM22" s="316"/>
      <c r="AN22" s="317"/>
      <c r="AO22" s="315">
        <f>180.938*1000</f>
        <v>180938</v>
      </c>
      <c r="AP22" s="316"/>
      <c r="AQ22" s="316"/>
      <c r="AR22" s="316"/>
      <c r="AS22" s="317"/>
      <c r="AT22" s="315">
        <f>104531</f>
        <v>104531</v>
      </c>
      <c r="AU22" s="316"/>
      <c r="AV22" s="316"/>
      <c r="AW22" s="317"/>
      <c r="AX22" s="318"/>
      <c r="AY22" s="319"/>
      <c r="AZ22" s="319"/>
      <c r="BA22" s="319"/>
      <c r="BB22" s="41">
        <v>32</v>
      </c>
      <c r="BC22" s="47">
        <f>SUM(B22:BA22)</f>
        <v>2080089</v>
      </c>
      <c r="BD22" s="57"/>
      <c r="BE22" s="57"/>
    </row>
    <row r="23" spans="1:57" s="55" customFormat="1" ht="16.5" customHeight="1" thickBot="1">
      <c r="A23" s="54" t="s">
        <v>79</v>
      </c>
      <c r="B23" s="355">
        <f>B22+B18+B14+B10+B6</f>
        <v>2812010</v>
      </c>
      <c r="C23" s="355"/>
      <c r="D23" s="355"/>
      <c r="E23" s="355"/>
      <c r="F23" s="356"/>
      <c r="G23" s="355">
        <f>G22+G18+G14+G10+G6</f>
        <v>6766846</v>
      </c>
      <c r="H23" s="355"/>
      <c r="I23" s="355"/>
      <c r="J23" s="356"/>
      <c r="K23" s="354">
        <f>K22+K18+K14+K10+K6</f>
        <v>6979889</v>
      </c>
      <c r="L23" s="355"/>
      <c r="M23" s="355"/>
      <c r="N23" s="356"/>
      <c r="O23" s="354">
        <f>O22+O18+O14+O10+O6</f>
        <v>8586132</v>
      </c>
      <c r="P23" s="355"/>
      <c r="Q23" s="355"/>
      <c r="R23" s="356"/>
      <c r="S23" s="354">
        <f>S22+S18+S14+S10+S6</f>
        <v>7352574</v>
      </c>
      <c r="T23" s="355"/>
      <c r="U23" s="355"/>
      <c r="V23" s="355"/>
      <c r="W23" s="356"/>
      <c r="X23" s="354">
        <f>X22+X18+X14+X10+X6</f>
        <v>230526</v>
      </c>
      <c r="Y23" s="355"/>
      <c r="Z23" s="355"/>
      <c r="AA23" s="356"/>
      <c r="AB23" s="354">
        <f>AB22+AB18+AB14+AB10+AB6</f>
        <v>230526</v>
      </c>
      <c r="AC23" s="355"/>
      <c r="AD23" s="355"/>
      <c r="AE23" s="356"/>
      <c r="AF23" s="354">
        <f>AF22+AF18+AF14+AF10+AF6</f>
        <v>3087349</v>
      </c>
      <c r="AG23" s="355"/>
      <c r="AH23" s="355"/>
      <c r="AI23" s="355"/>
      <c r="AJ23" s="356"/>
      <c r="AK23" s="354">
        <f>AK22+AK18+AK14+AK10+AK6</f>
        <v>2524701</v>
      </c>
      <c r="AL23" s="355"/>
      <c r="AM23" s="355"/>
      <c r="AN23" s="356"/>
      <c r="AO23" s="354">
        <f>AO22+AO18+AO14+AO10+AO6</f>
        <v>181122</v>
      </c>
      <c r="AP23" s="355"/>
      <c r="AQ23" s="355"/>
      <c r="AR23" s="355"/>
      <c r="AS23" s="356"/>
      <c r="AT23" s="354">
        <f>AT22+AT18+AT14+AT10+AT6</f>
        <v>104531</v>
      </c>
      <c r="AU23" s="355"/>
      <c r="AV23" s="355"/>
      <c r="AW23" s="356"/>
      <c r="AX23" s="357">
        <f>AX22+AX18+AX14+AX10+AX6</f>
        <v>0</v>
      </c>
      <c r="AY23" s="358"/>
      <c r="AZ23" s="358"/>
      <c r="BA23" s="358"/>
      <c r="BB23" s="84">
        <f>BB22+BB18+BB14+BB10+BB6</f>
        <v>2590</v>
      </c>
      <c r="BC23" s="65">
        <f>BC22+BC18+BC14+BC10+BC6</f>
        <v>38856206</v>
      </c>
      <c r="BD23" s="66"/>
      <c r="BE23" s="66"/>
    </row>
    <row r="24" spans="1:57">
      <c r="A24" s="229" t="s">
        <v>62</v>
      </c>
      <c r="B24" s="206"/>
      <c r="C24" s="199"/>
      <c r="D24" s="199"/>
      <c r="E24" s="226"/>
      <c r="F24" s="211"/>
      <c r="G24" s="206"/>
      <c r="H24" s="199"/>
      <c r="I24" s="226"/>
      <c r="J24" s="211"/>
      <c r="K24" s="206"/>
      <c r="L24" s="199"/>
      <c r="M24" s="199"/>
      <c r="N24" s="200"/>
      <c r="O24" s="201"/>
      <c r="P24" s="199"/>
      <c r="Q24" s="199"/>
      <c r="R24" s="200"/>
      <c r="S24" s="201"/>
      <c r="T24" s="199"/>
      <c r="U24" s="199"/>
      <c r="V24" s="199"/>
      <c r="W24" s="200"/>
      <c r="X24" s="201"/>
      <c r="Y24" s="199"/>
      <c r="Z24" s="199"/>
      <c r="AA24" s="200"/>
      <c r="AB24" s="201"/>
      <c r="AC24" s="199"/>
      <c r="AD24" s="199"/>
      <c r="AE24" s="200"/>
      <c r="AF24" s="201"/>
      <c r="AG24" s="199"/>
      <c r="AH24" s="199"/>
      <c r="AI24" s="199"/>
      <c r="AJ24" s="200"/>
      <c r="AK24" s="201"/>
      <c r="AL24" s="199"/>
      <c r="AM24" s="199"/>
      <c r="AN24" s="200"/>
      <c r="AO24" s="201"/>
      <c r="AP24" s="199"/>
      <c r="AQ24" s="199"/>
      <c r="AR24" s="213"/>
      <c r="AS24" s="214"/>
      <c r="AT24" s="210"/>
      <c r="AU24" s="199"/>
      <c r="AV24" s="199"/>
      <c r="AW24" s="200"/>
      <c r="AX24" s="207"/>
      <c r="AY24" s="208"/>
      <c r="AZ24" s="208"/>
      <c r="BA24" s="209"/>
      <c r="BB24" s="204"/>
      <c r="BC24" s="163"/>
    </row>
    <row r="25" spans="1:57">
      <c r="A25" s="180" t="s">
        <v>52</v>
      </c>
      <c r="B25" s="164"/>
      <c r="C25" s="165"/>
      <c r="D25" s="165"/>
      <c r="E25" s="227"/>
      <c r="F25" s="216"/>
      <c r="G25" s="164"/>
      <c r="H25" s="165"/>
      <c r="I25" s="227"/>
      <c r="J25" s="216"/>
      <c r="K25" s="164"/>
      <c r="L25" s="165"/>
      <c r="M25" s="165"/>
      <c r="N25" s="166"/>
      <c r="O25" s="167"/>
      <c r="P25" s="165"/>
      <c r="Q25" s="165"/>
      <c r="R25" s="166"/>
      <c r="S25" s="167"/>
      <c r="T25" s="165"/>
      <c r="U25" s="165"/>
      <c r="V25" s="165"/>
      <c r="W25" s="166"/>
      <c r="X25" s="167"/>
      <c r="Y25" s="165"/>
      <c r="Z25" s="165"/>
      <c r="AA25" s="166"/>
      <c r="AB25" s="167"/>
      <c r="AC25" s="165"/>
      <c r="AD25" s="165"/>
      <c r="AE25" s="166"/>
      <c r="AF25" s="201"/>
      <c r="AG25" s="199"/>
      <c r="AH25" s="199"/>
      <c r="AI25" s="199"/>
      <c r="AJ25" s="200"/>
      <c r="AK25" s="167"/>
      <c r="AL25" s="165"/>
      <c r="AM25" s="165"/>
      <c r="AN25" s="166"/>
      <c r="AO25" s="167"/>
      <c r="AP25" s="165"/>
      <c r="AQ25" s="165"/>
      <c r="AR25" s="175"/>
      <c r="AS25" s="228"/>
      <c r="AT25" s="205"/>
      <c r="AU25" s="199"/>
      <c r="AV25" s="199"/>
      <c r="AW25" s="200"/>
      <c r="AX25" s="207"/>
      <c r="AY25" s="208"/>
      <c r="AZ25" s="208"/>
      <c r="BA25" s="209"/>
      <c r="BB25" s="176"/>
      <c r="BC25" s="172"/>
    </row>
    <row r="26" spans="1:57">
      <c r="A26" s="181" t="s">
        <v>57</v>
      </c>
      <c r="B26" s="345">
        <f>1469479258/181*31</f>
        <v>251678767.94475138</v>
      </c>
      <c r="C26" s="289"/>
      <c r="D26" s="289"/>
      <c r="E26" s="289"/>
      <c r="F26" s="298"/>
      <c r="G26" s="297">
        <f>1469479258/181*28</f>
        <v>227322758.14364642</v>
      </c>
      <c r="H26" s="289"/>
      <c r="I26" s="289"/>
      <c r="J26" s="298"/>
      <c r="K26" s="297">
        <f>1469479258/181*31</f>
        <v>251678767.94475138</v>
      </c>
      <c r="L26" s="289"/>
      <c r="M26" s="289"/>
      <c r="N26" s="298"/>
      <c r="O26" s="297">
        <f>1469479258/181*30</f>
        <v>243560098.01104972</v>
      </c>
      <c r="P26" s="289"/>
      <c r="Q26" s="289"/>
      <c r="R26" s="298"/>
      <c r="S26" s="297">
        <f>1469479258/181*31</f>
        <v>251678767.94475138</v>
      </c>
      <c r="T26" s="289"/>
      <c r="U26" s="289"/>
      <c r="V26" s="289"/>
      <c r="W26" s="298"/>
      <c r="X26" s="297">
        <f>1469479258/181*30</f>
        <v>243560098.01104972</v>
      </c>
      <c r="Y26" s="289"/>
      <c r="Z26" s="289"/>
      <c r="AA26" s="298"/>
      <c r="AB26" s="297"/>
      <c r="AC26" s="289"/>
      <c r="AD26" s="289"/>
      <c r="AE26" s="298"/>
      <c r="AF26" s="297">
        <v>60496490</v>
      </c>
      <c r="AG26" s="289"/>
      <c r="AH26" s="289"/>
      <c r="AI26" s="289"/>
      <c r="AJ26" s="298"/>
      <c r="AK26" s="297"/>
      <c r="AL26" s="289"/>
      <c r="AM26" s="289"/>
      <c r="AN26" s="298"/>
      <c r="AO26" s="297"/>
      <c r="AP26" s="289"/>
      <c r="AQ26" s="289"/>
      <c r="AR26" s="289"/>
      <c r="AS26" s="298"/>
      <c r="AT26" s="297">
        <v>19969024</v>
      </c>
      <c r="AU26" s="289"/>
      <c r="AV26" s="289"/>
      <c r="AW26" s="289"/>
      <c r="AX26" s="297">
        <v>41509124</v>
      </c>
      <c r="AY26" s="289"/>
      <c r="AZ26" s="289"/>
      <c r="BA26" s="290"/>
      <c r="BB26" s="189"/>
      <c r="BC26" s="190">
        <f>SUM(B26:BA26)</f>
        <v>1591453896</v>
      </c>
    </row>
    <row r="27" spans="1:57" ht="13.5" thickBot="1">
      <c r="A27" s="181" t="s">
        <v>76</v>
      </c>
      <c r="B27" s="346">
        <f>3973447/181*28</f>
        <v>614676.88397790049</v>
      </c>
      <c r="C27" s="292"/>
      <c r="D27" s="292"/>
      <c r="E27" s="292"/>
      <c r="F27" s="293"/>
      <c r="G27" s="291">
        <v>680535.12154696137</v>
      </c>
      <c r="H27" s="292"/>
      <c r="I27" s="292"/>
      <c r="J27" s="293"/>
      <c r="K27" s="291">
        <f>3973447/181*31</f>
        <v>680535.12154696137</v>
      </c>
      <c r="L27" s="292"/>
      <c r="M27" s="292"/>
      <c r="N27" s="293"/>
      <c r="O27" s="291">
        <f>3973447/181*30</f>
        <v>658582.3756906077</v>
      </c>
      <c r="P27" s="292"/>
      <c r="Q27" s="292"/>
      <c r="R27" s="293"/>
      <c r="S27" s="291">
        <f>3973447/181*31</f>
        <v>680535.12154696137</v>
      </c>
      <c r="T27" s="292"/>
      <c r="U27" s="292"/>
      <c r="V27" s="292"/>
      <c r="W27" s="293"/>
      <c r="X27" s="351">
        <f>3973447/181*30</f>
        <v>658582.3756906077</v>
      </c>
      <c r="Y27" s="352"/>
      <c r="Z27" s="352"/>
      <c r="AA27" s="353"/>
      <c r="AB27" s="291"/>
      <c r="AC27" s="292"/>
      <c r="AD27" s="292"/>
      <c r="AE27" s="292"/>
      <c r="AF27" s="291">
        <v>202210</v>
      </c>
      <c r="AG27" s="292"/>
      <c r="AH27" s="292"/>
      <c r="AI27" s="292"/>
      <c r="AJ27" s="293"/>
      <c r="AK27" s="291"/>
      <c r="AL27" s="292"/>
      <c r="AM27" s="292"/>
      <c r="AN27" s="293"/>
      <c r="AO27" s="291"/>
      <c r="AP27" s="292"/>
      <c r="AQ27" s="292"/>
      <c r="AR27" s="292"/>
      <c r="AS27" s="293"/>
      <c r="AT27" s="291">
        <v>85551</v>
      </c>
      <c r="AU27" s="292"/>
      <c r="AV27" s="292"/>
      <c r="AW27" s="293"/>
      <c r="AX27" s="291">
        <v>174045</v>
      </c>
      <c r="AY27" s="292"/>
      <c r="AZ27" s="292"/>
      <c r="BA27" s="305"/>
      <c r="BB27" s="191"/>
      <c r="BC27" s="192">
        <f>SUM(B27:BA27)</f>
        <v>4435253</v>
      </c>
    </row>
    <row r="28" spans="1:57">
      <c r="A28" s="224" t="s">
        <v>29</v>
      </c>
      <c r="B28" s="164"/>
      <c r="C28" s="165"/>
      <c r="D28" s="165"/>
      <c r="E28" s="227"/>
      <c r="F28" s="228"/>
      <c r="G28" s="164"/>
      <c r="H28" s="165"/>
      <c r="I28" s="212"/>
      <c r="J28" s="216"/>
      <c r="K28" s="164"/>
      <c r="L28" s="165"/>
      <c r="M28" s="165"/>
      <c r="N28" s="166"/>
      <c r="O28" s="167"/>
      <c r="P28" s="165"/>
      <c r="Q28" s="165"/>
      <c r="R28" s="166"/>
      <c r="S28" s="167"/>
      <c r="T28" s="165"/>
      <c r="U28" s="165"/>
      <c r="V28" s="165"/>
      <c r="W28" s="166"/>
      <c r="X28" s="158"/>
      <c r="Y28" s="156"/>
      <c r="Z28" s="156"/>
      <c r="AA28" s="157"/>
      <c r="AB28" s="167"/>
      <c r="AC28" s="165"/>
      <c r="AD28" s="165"/>
      <c r="AE28" s="166"/>
      <c r="AF28" s="167"/>
      <c r="AG28" s="165"/>
      <c r="AH28" s="165"/>
      <c r="AI28" s="165"/>
      <c r="AJ28" s="166"/>
      <c r="AK28" s="167"/>
      <c r="AL28" s="165"/>
      <c r="AM28" s="165"/>
      <c r="AN28" s="166"/>
      <c r="AO28" s="167"/>
      <c r="AP28" s="165"/>
      <c r="AQ28" s="165"/>
      <c r="AR28" s="175"/>
      <c r="AS28" s="228"/>
      <c r="AT28" s="164"/>
      <c r="AU28" s="165"/>
      <c r="AV28" s="165"/>
      <c r="AW28" s="166"/>
      <c r="AX28" s="168"/>
      <c r="AY28" s="169"/>
      <c r="AZ28" s="169"/>
      <c r="BA28" s="170"/>
      <c r="BB28" s="173"/>
      <c r="BC28" s="174"/>
    </row>
    <row r="29" spans="1:57">
      <c r="A29" s="225" t="s">
        <v>65</v>
      </c>
      <c r="B29" s="164"/>
      <c r="C29" s="165"/>
      <c r="D29" s="165"/>
      <c r="E29" s="212"/>
      <c r="F29" s="216"/>
      <c r="G29" s="164"/>
      <c r="H29" s="165"/>
      <c r="I29" s="212"/>
      <c r="J29" s="216"/>
      <c r="K29" s="164"/>
      <c r="L29" s="165"/>
      <c r="M29" s="165"/>
      <c r="N29" s="166"/>
      <c r="O29" s="167"/>
      <c r="P29" s="165"/>
      <c r="Q29" s="165"/>
      <c r="R29" s="166"/>
      <c r="S29" s="167"/>
      <c r="T29" s="165"/>
      <c r="U29" s="165"/>
      <c r="V29" s="165"/>
      <c r="W29" s="166"/>
      <c r="X29" s="167"/>
      <c r="Y29" s="165"/>
      <c r="Z29" s="165"/>
      <c r="AA29" s="166"/>
      <c r="AB29" s="184"/>
      <c r="AC29" s="218"/>
      <c r="AD29" s="218"/>
      <c r="AE29" s="219"/>
      <c r="AF29" s="220"/>
      <c r="AG29" s="221"/>
      <c r="AH29" s="218"/>
      <c r="AI29" s="218"/>
      <c r="AJ29" s="219"/>
      <c r="AK29" s="220"/>
      <c r="AL29" s="218"/>
      <c r="AM29" s="219"/>
      <c r="AN29" s="222"/>
      <c r="AO29" s="219"/>
      <c r="AP29" s="221"/>
      <c r="AQ29" s="218"/>
      <c r="AR29" s="175"/>
      <c r="AS29" s="175"/>
      <c r="AT29" s="223"/>
      <c r="AU29" s="165"/>
      <c r="AV29" s="165"/>
      <c r="AW29" s="166"/>
      <c r="AX29" s="168"/>
      <c r="AY29" s="169"/>
      <c r="AZ29" s="169"/>
      <c r="BA29" s="170"/>
      <c r="BB29" s="171"/>
      <c r="BC29" s="172"/>
    </row>
    <row r="30" spans="1:57" ht="3" customHeight="1">
      <c r="A30" s="225"/>
      <c r="B30" s="164"/>
      <c r="C30" s="165"/>
      <c r="D30" s="165"/>
      <c r="E30" s="212"/>
      <c r="F30" s="216"/>
      <c r="G30" s="164"/>
      <c r="H30" s="165"/>
      <c r="I30" s="212"/>
      <c r="J30" s="216"/>
      <c r="K30" s="164"/>
      <c r="L30" s="165"/>
      <c r="M30" s="165"/>
      <c r="N30" s="166"/>
      <c r="O30" s="167"/>
      <c r="P30" s="165"/>
      <c r="Q30" s="165"/>
      <c r="R30" s="166"/>
      <c r="S30" s="167"/>
      <c r="T30" s="165"/>
      <c r="U30" s="165"/>
      <c r="V30" s="165"/>
      <c r="W30" s="166"/>
      <c r="X30" s="167"/>
      <c r="Y30" s="165"/>
      <c r="Z30" s="165"/>
      <c r="AA30" s="166"/>
      <c r="AB30" s="184"/>
      <c r="AC30" s="218"/>
      <c r="AD30" s="218"/>
      <c r="AE30" s="219"/>
      <c r="AF30" s="220"/>
      <c r="AG30" s="221"/>
      <c r="AH30" s="218"/>
      <c r="AI30" s="218"/>
      <c r="AJ30" s="219"/>
      <c r="AK30" s="220"/>
      <c r="AL30" s="218"/>
      <c r="AM30" s="219"/>
      <c r="AN30" s="222"/>
      <c r="AO30" s="219"/>
      <c r="AP30" s="221"/>
      <c r="AQ30" s="218"/>
      <c r="AR30" s="175"/>
      <c r="AS30" s="175"/>
      <c r="AT30" s="164"/>
      <c r="AU30" s="165"/>
      <c r="AV30" s="165"/>
      <c r="AW30" s="166"/>
      <c r="AX30" s="168"/>
      <c r="AY30" s="169"/>
      <c r="AZ30" s="169"/>
      <c r="BA30" s="170"/>
      <c r="BB30" s="171"/>
      <c r="BC30" s="172"/>
    </row>
    <row r="31" spans="1:57">
      <c r="A31" s="225" t="s">
        <v>34</v>
      </c>
      <c r="B31" s="164"/>
      <c r="C31" s="165"/>
      <c r="D31" s="165"/>
      <c r="E31" s="212"/>
      <c r="F31" s="217"/>
      <c r="G31" s="164"/>
      <c r="H31" s="165"/>
      <c r="I31" s="212"/>
      <c r="J31" s="217"/>
      <c r="K31" s="164"/>
      <c r="L31" s="165"/>
      <c r="M31" s="165"/>
      <c r="N31" s="166"/>
      <c r="O31" s="167"/>
      <c r="P31" s="165"/>
      <c r="Q31" s="165"/>
      <c r="R31" s="166"/>
      <c r="S31" s="167"/>
      <c r="T31" s="165"/>
      <c r="U31" s="165"/>
      <c r="V31" s="165"/>
      <c r="W31" s="166"/>
      <c r="X31" s="167"/>
      <c r="Y31" s="165"/>
      <c r="Z31" s="165"/>
      <c r="AA31" s="166"/>
      <c r="AB31" s="184"/>
      <c r="AC31" s="195"/>
      <c r="AD31" s="195"/>
      <c r="AE31" s="196"/>
      <c r="AF31" s="202"/>
      <c r="AG31" s="197"/>
      <c r="AH31" s="195"/>
      <c r="AI31" s="195"/>
      <c r="AJ31" s="196"/>
      <c r="AK31" s="202"/>
      <c r="AL31" s="195"/>
      <c r="AM31" s="196"/>
      <c r="AN31" s="198"/>
      <c r="AO31" s="196"/>
      <c r="AP31" s="197"/>
      <c r="AQ31" s="195"/>
      <c r="AR31" s="166"/>
      <c r="AS31" s="167"/>
      <c r="AT31" s="165"/>
      <c r="AU31" s="165"/>
      <c r="AV31" s="165"/>
      <c r="AW31" s="166"/>
      <c r="AX31" s="168"/>
      <c r="AY31" s="169"/>
      <c r="AZ31" s="169"/>
      <c r="BA31" s="170"/>
      <c r="BB31" s="171"/>
      <c r="BC31" s="172"/>
    </row>
    <row r="32" spans="1:57">
      <c r="A32" s="181" t="s">
        <v>48</v>
      </c>
      <c r="B32" s="350"/>
      <c r="C32" s="307"/>
      <c r="D32" s="307"/>
      <c r="E32" s="307"/>
      <c r="F32" s="308"/>
      <c r="G32" s="297"/>
      <c r="H32" s="289"/>
      <c r="I32" s="289"/>
      <c r="J32" s="298"/>
      <c r="K32" s="297">
        <f>155172.4+(500000/15*11)</f>
        <v>521839.06666666665</v>
      </c>
      <c r="L32" s="289"/>
      <c r="M32" s="289"/>
      <c r="N32" s="298"/>
      <c r="O32" s="297">
        <f>344827.6+(500000/15*4)</f>
        <v>478160.93333333335</v>
      </c>
      <c r="P32" s="289"/>
      <c r="Q32" s="289"/>
      <c r="R32" s="298"/>
      <c r="S32" s="297">
        <f>350000/50*28</f>
        <v>196000</v>
      </c>
      <c r="T32" s="289"/>
      <c r="U32" s="289"/>
      <c r="V32" s="289"/>
      <c r="W32" s="298"/>
      <c r="X32" s="297">
        <f>350000/50*22</f>
        <v>154000</v>
      </c>
      <c r="Y32" s="289"/>
      <c r="Z32" s="289"/>
      <c r="AA32" s="298"/>
      <c r="AB32" s="297"/>
      <c r="AC32" s="289"/>
      <c r="AD32" s="289"/>
      <c r="AE32" s="298"/>
      <c r="AF32" s="297"/>
      <c r="AG32" s="289"/>
      <c r="AH32" s="289"/>
      <c r="AI32" s="289"/>
      <c r="AJ32" s="298"/>
      <c r="AK32" s="297"/>
      <c r="AL32" s="289"/>
      <c r="AM32" s="289"/>
      <c r="AN32" s="298"/>
      <c r="AO32" s="297">
        <f>250000/50*10</f>
        <v>50000</v>
      </c>
      <c r="AP32" s="289"/>
      <c r="AQ32" s="289"/>
      <c r="AR32" s="289"/>
      <c r="AS32" s="298"/>
      <c r="AT32" s="297">
        <f>250000/50*30</f>
        <v>150000</v>
      </c>
      <c r="AU32" s="289"/>
      <c r="AV32" s="289"/>
      <c r="AW32" s="298"/>
      <c r="AX32" s="289">
        <f>250000/50*10</f>
        <v>50000</v>
      </c>
      <c r="AY32" s="289"/>
      <c r="AZ32" s="289"/>
      <c r="BA32" s="290"/>
      <c r="BB32" s="189"/>
      <c r="BC32" s="190">
        <f>SUM(B32:BA32)</f>
        <v>1600000</v>
      </c>
    </row>
    <row r="33" spans="1:55" ht="13.5" thickBot="1">
      <c r="A33" s="181" t="s">
        <v>76</v>
      </c>
      <c r="B33" s="346"/>
      <c r="C33" s="292"/>
      <c r="D33" s="292"/>
      <c r="E33" s="292"/>
      <c r="F33" s="293"/>
      <c r="G33" s="291"/>
      <c r="H33" s="292"/>
      <c r="I33" s="292"/>
      <c r="J33" s="293"/>
      <c r="K33" s="291">
        <f>K32*1</f>
        <v>521839.06666666665</v>
      </c>
      <c r="L33" s="292"/>
      <c r="M33" s="292"/>
      <c r="N33" s="293"/>
      <c r="O33" s="291">
        <f>O32*1</f>
        <v>478160.93333333335</v>
      </c>
      <c r="P33" s="292"/>
      <c r="Q33" s="292"/>
      <c r="R33" s="293"/>
      <c r="S33" s="291">
        <f>S32*1</f>
        <v>196000</v>
      </c>
      <c r="T33" s="292"/>
      <c r="U33" s="292"/>
      <c r="V33" s="292"/>
      <c r="W33" s="293"/>
      <c r="X33" s="309">
        <f>X32*1</f>
        <v>154000</v>
      </c>
      <c r="Y33" s="307"/>
      <c r="Z33" s="307"/>
      <c r="AA33" s="308"/>
      <c r="AB33" s="291"/>
      <c r="AC33" s="292"/>
      <c r="AD33" s="292"/>
      <c r="AE33" s="292"/>
      <c r="AF33" s="291"/>
      <c r="AG33" s="292"/>
      <c r="AH33" s="292"/>
      <c r="AI33" s="292"/>
      <c r="AJ33" s="293"/>
      <c r="AK33" s="291"/>
      <c r="AL33" s="292"/>
      <c r="AM33" s="292"/>
      <c r="AN33" s="293"/>
      <c r="AO33" s="291">
        <f>AO32*1</f>
        <v>50000</v>
      </c>
      <c r="AP33" s="292"/>
      <c r="AQ33" s="292"/>
      <c r="AR33" s="292"/>
      <c r="AS33" s="293"/>
      <c r="AT33" s="291">
        <f>AT32*1</f>
        <v>150000</v>
      </c>
      <c r="AU33" s="292"/>
      <c r="AV33" s="292"/>
      <c r="AW33" s="293"/>
      <c r="AX33" s="291">
        <f>AX32*1</f>
        <v>50000</v>
      </c>
      <c r="AY33" s="292"/>
      <c r="AZ33" s="292"/>
      <c r="BA33" s="305"/>
      <c r="BB33" s="191"/>
      <c r="BC33" s="192">
        <f>SUM(B33:BA33)</f>
        <v>1600000</v>
      </c>
    </row>
    <row r="34" spans="1:55" ht="13.5" thickBot="1">
      <c r="A34" s="182" t="s">
        <v>78</v>
      </c>
      <c r="B34" s="302">
        <f>B27+B33</f>
        <v>614676.88397790049</v>
      </c>
      <c r="C34" s="300"/>
      <c r="D34" s="300"/>
      <c r="E34" s="300"/>
      <c r="F34" s="301"/>
      <c r="G34" s="299">
        <f>G33+G27</f>
        <v>680535.12154696137</v>
      </c>
      <c r="H34" s="300"/>
      <c r="I34" s="300"/>
      <c r="J34" s="301"/>
      <c r="K34" s="299">
        <f>K33+K27</f>
        <v>1202374.188213628</v>
      </c>
      <c r="L34" s="300"/>
      <c r="M34" s="300"/>
      <c r="N34" s="301"/>
      <c r="O34" s="299">
        <f>O33+O27</f>
        <v>1136743.3090239409</v>
      </c>
      <c r="P34" s="300"/>
      <c r="Q34" s="300"/>
      <c r="R34" s="301"/>
      <c r="S34" s="299">
        <f>S33+S27</f>
        <v>876535.12154696137</v>
      </c>
      <c r="T34" s="300"/>
      <c r="U34" s="300"/>
      <c r="V34" s="300"/>
      <c r="W34" s="301"/>
      <c r="X34" s="299">
        <f>X33+X27</f>
        <v>812582.3756906077</v>
      </c>
      <c r="Y34" s="300"/>
      <c r="Z34" s="300"/>
      <c r="AA34" s="301"/>
      <c r="AB34" s="299"/>
      <c r="AC34" s="300"/>
      <c r="AD34" s="300"/>
      <c r="AE34" s="301"/>
      <c r="AF34" s="299">
        <f>AF27+AF33</f>
        <v>202210</v>
      </c>
      <c r="AG34" s="300"/>
      <c r="AH34" s="300"/>
      <c r="AI34" s="300"/>
      <c r="AJ34" s="301"/>
      <c r="AK34" s="299"/>
      <c r="AL34" s="300"/>
      <c r="AM34" s="300"/>
      <c r="AN34" s="301"/>
      <c r="AO34" s="299">
        <f>AO33</f>
        <v>50000</v>
      </c>
      <c r="AP34" s="300"/>
      <c r="AQ34" s="300"/>
      <c r="AR34" s="300"/>
      <c r="AS34" s="301"/>
      <c r="AT34" s="299">
        <f>AT33+AT27</f>
        <v>235551</v>
      </c>
      <c r="AU34" s="300"/>
      <c r="AV34" s="300"/>
      <c r="AW34" s="301"/>
      <c r="AX34" s="299">
        <f>AX27+AX33</f>
        <v>224045</v>
      </c>
      <c r="AY34" s="300"/>
      <c r="AZ34" s="300"/>
      <c r="BA34" s="306"/>
      <c r="BB34" s="193"/>
      <c r="BC34" s="194">
        <f>BC33+BC27</f>
        <v>6035253</v>
      </c>
    </row>
    <row r="35" spans="1:55" ht="23.25" thickBot="1">
      <c r="A35" s="183" t="s">
        <v>77</v>
      </c>
      <c r="B35" s="302">
        <f>B34+B23</f>
        <v>3426686.8839779003</v>
      </c>
      <c r="C35" s="300"/>
      <c r="D35" s="300"/>
      <c r="E35" s="300"/>
      <c r="F35" s="301"/>
      <c r="G35" s="299">
        <f>G34+G23</f>
        <v>7447381.1215469614</v>
      </c>
      <c r="H35" s="300"/>
      <c r="I35" s="300"/>
      <c r="J35" s="301"/>
      <c r="K35" s="347">
        <f>K34+K23</f>
        <v>8182263.1882136278</v>
      </c>
      <c r="L35" s="348"/>
      <c r="M35" s="348"/>
      <c r="N35" s="349"/>
      <c r="O35" s="299">
        <f>O23+O34</f>
        <v>9722875.3090239409</v>
      </c>
      <c r="P35" s="303"/>
      <c r="Q35" s="303"/>
      <c r="R35" s="304"/>
      <c r="S35" s="299">
        <f>S34+S23</f>
        <v>8229109.1215469614</v>
      </c>
      <c r="T35" s="300"/>
      <c r="U35" s="300"/>
      <c r="V35" s="300"/>
      <c r="W35" s="301"/>
      <c r="X35" s="299">
        <f>X34+X23</f>
        <v>1043108.3756906077</v>
      </c>
      <c r="Y35" s="300"/>
      <c r="Z35" s="300"/>
      <c r="AA35" s="301"/>
      <c r="AB35" s="299"/>
      <c r="AC35" s="300"/>
      <c r="AD35" s="300"/>
      <c r="AE35" s="301"/>
      <c r="AF35" s="299">
        <f>AF34+AF23</f>
        <v>3289559</v>
      </c>
      <c r="AG35" s="300"/>
      <c r="AH35" s="300"/>
      <c r="AI35" s="300"/>
      <c r="AJ35" s="301"/>
      <c r="AK35" s="299"/>
      <c r="AL35" s="300"/>
      <c r="AM35" s="300"/>
      <c r="AN35" s="301"/>
      <c r="AO35" s="299">
        <f>AO34+AO23</f>
        <v>231122</v>
      </c>
      <c r="AP35" s="300"/>
      <c r="AQ35" s="300"/>
      <c r="AR35" s="300"/>
      <c r="AS35" s="301"/>
      <c r="AT35" s="299">
        <f>AT34+AT23</f>
        <v>340082</v>
      </c>
      <c r="AU35" s="300"/>
      <c r="AV35" s="300"/>
      <c r="AW35" s="301"/>
      <c r="AX35" s="299">
        <f>AX34+AX23</f>
        <v>224045</v>
      </c>
      <c r="AY35" s="300"/>
      <c r="AZ35" s="300"/>
      <c r="BA35" s="300"/>
      <c r="BB35" s="193">
        <f>BB34+BB23</f>
        <v>2590</v>
      </c>
      <c r="BC35" s="194">
        <f>BC23+BC34</f>
        <v>44891459</v>
      </c>
    </row>
  </sheetData>
  <mergeCells count="219">
    <mergeCell ref="AT21:AW21"/>
    <mergeCell ref="AX21:BA21"/>
    <mergeCell ref="AX9:BA9"/>
    <mergeCell ref="AO13:AS13"/>
    <mergeCell ref="AT13:AW13"/>
    <mergeCell ref="AX13:BA13"/>
    <mergeCell ref="AO18:AS18"/>
    <mergeCell ref="AT18:AW18"/>
    <mergeCell ref="AT10:AW10"/>
    <mergeCell ref="G13:J13"/>
    <mergeCell ref="K13:N13"/>
    <mergeCell ref="O13:R13"/>
    <mergeCell ref="S13:W13"/>
    <mergeCell ref="X18:AA18"/>
    <mergeCell ref="AB18:AE18"/>
    <mergeCell ref="AO23:AS23"/>
    <mergeCell ref="AT23:AW23"/>
    <mergeCell ref="AX23:BA23"/>
    <mergeCell ref="AK23:AN23"/>
    <mergeCell ref="AT22:AW22"/>
    <mergeCell ref="S21:W21"/>
    <mergeCell ref="X21:AA21"/>
    <mergeCell ref="AB21:AE21"/>
    <mergeCell ref="AF21:AJ21"/>
    <mergeCell ref="AO21:AS21"/>
    <mergeCell ref="K6:N6"/>
    <mergeCell ref="S23:W23"/>
    <mergeCell ref="X23:AA23"/>
    <mergeCell ref="AB23:AE23"/>
    <mergeCell ref="AF23:AJ23"/>
    <mergeCell ref="AK21:AN21"/>
    <mergeCell ref="X13:AA13"/>
    <mergeCell ref="AB13:AE13"/>
    <mergeCell ref="AF13:AJ13"/>
    <mergeCell ref="AK13:AN13"/>
    <mergeCell ref="B9:F9"/>
    <mergeCell ref="A1:A2"/>
    <mergeCell ref="B23:F23"/>
    <mergeCell ref="G23:J23"/>
    <mergeCell ref="K23:N23"/>
    <mergeCell ref="G9:J9"/>
    <mergeCell ref="K9:N9"/>
    <mergeCell ref="B17:F17"/>
    <mergeCell ref="G17:J17"/>
    <mergeCell ref="K17:N17"/>
    <mergeCell ref="B1:F1"/>
    <mergeCell ref="G1:J1"/>
    <mergeCell ref="K1:N1"/>
    <mergeCell ref="O1:R1"/>
    <mergeCell ref="B5:F5"/>
    <mergeCell ref="G5:J5"/>
    <mergeCell ref="K5:N5"/>
    <mergeCell ref="O5:R5"/>
    <mergeCell ref="O17:R17"/>
    <mergeCell ref="B21:F21"/>
    <mergeCell ref="G21:J21"/>
    <mergeCell ref="K21:N21"/>
    <mergeCell ref="O21:R21"/>
    <mergeCell ref="O23:R23"/>
    <mergeCell ref="AB14:AE14"/>
    <mergeCell ref="AF14:AJ14"/>
    <mergeCell ref="AX6:BA6"/>
    <mergeCell ref="O6:R6"/>
    <mergeCell ref="S6:W6"/>
    <mergeCell ref="X6:AA6"/>
    <mergeCell ref="AT6:AW6"/>
    <mergeCell ref="B14:F14"/>
    <mergeCell ref="G14:J14"/>
    <mergeCell ref="K14:N14"/>
    <mergeCell ref="O14:R14"/>
    <mergeCell ref="S14:W14"/>
    <mergeCell ref="X14:AA14"/>
    <mergeCell ref="B13:F13"/>
    <mergeCell ref="AT5:AW5"/>
    <mergeCell ref="AX5:BA5"/>
    <mergeCell ref="B6:F6"/>
    <mergeCell ref="AO10:AS10"/>
    <mergeCell ref="S5:W5"/>
    <mergeCell ref="X5:AA5"/>
    <mergeCell ref="AB5:AE5"/>
    <mergeCell ref="AF5:AJ5"/>
    <mergeCell ref="AX10:BA10"/>
    <mergeCell ref="BB1:BB2"/>
    <mergeCell ref="X1:AA1"/>
    <mergeCell ref="S1:W1"/>
    <mergeCell ref="BC1:BC2"/>
    <mergeCell ref="AB1:AE1"/>
    <mergeCell ref="AF1:AJ1"/>
    <mergeCell ref="AK1:AN1"/>
    <mergeCell ref="AO1:AS1"/>
    <mergeCell ref="AT1:AW1"/>
    <mergeCell ref="AX1:BA1"/>
    <mergeCell ref="AK5:AN5"/>
    <mergeCell ref="AO5:AS5"/>
    <mergeCell ref="AB6:AE6"/>
    <mergeCell ref="AF6:AJ6"/>
    <mergeCell ref="AO6:AS6"/>
    <mergeCell ref="S17:W17"/>
    <mergeCell ref="X17:AA17"/>
    <mergeCell ref="AB17:AE17"/>
    <mergeCell ref="AF17:AJ17"/>
    <mergeCell ref="AK14:AN14"/>
    <mergeCell ref="AF10:AJ10"/>
    <mergeCell ref="AK10:AN10"/>
    <mergeCell ref="X22:AA22"/>
    <mergeCell ref="G6:J6"/>
    <mergeCell ref="AK6:AN6"/>
    <mergeCell ref="S9:W9"/>
    <mergeCell ref="X9:AA9"/>
    <mergeCell ref="AB9:AE9"/>
    <mergeCell ref="AF9:AJ9"/>
    <mergeCell ref="AK9:AN9"/>
    <mergeCell ref="B10:F10"/>
    <mergeCell ref="G10:J10"/>
    <mergeCell ref="K10:N10"/>
    <mergeCell ref="O10:R10"/>
    <mergeCell ref="AO9:AS9"/>
    <mergeCell ref="AT9:AW9"/>
    <mergeCell ref="O9:R9"/>
    <mergeCell ref="S10:W10"/>
    <mergeCell ref="X10:AA10"/>
    <mergeCell ref="AB10:AE10"/>
    <mergeCell ref="AT17:AW17"/>
    <mergeCell ref="AX17:BA17"/>
    <mergeCell ref="AB22:AE22"/>
    <mergeCell ref="AF22:AJ22"/>
    <mergeCell ref="AK22:AN22"/>
    <mergeCell ref="AO22:AS22"/>
    <mergeCell ref="AX22:BA22"/>
    <mergeCell ref="AX18:BA18"/>
    <mergeCell ref="AF18:AJ18"/>
    <mergeCell ref="AK18:AN18"/>
    <mergeCell ref="AO14:AS14"/>
    <mergeCell ref="AT14:AW14"/>
    <mergeCell ref="AX14:BA14"/>
    <mergeCell ref="B18:F18"/>
    <mergeCell ref="G18:J18"/>
    <mergeCell ref="K18:N18"/>
    <mergeCell ref="O18:R18"/>
    <mergeCell ref="S18:W18"/>
    <mergeCell ref="AK17:AN17"/>
    <mergeCell ref="AO17:AS17"/>
    <mergeCell ref="B22:F22"/>
    <mergeCell ref="G22:J22"/>
    <mergeCell ref="K22:N22"/>
    <mergeCell ref="O22:R22"/>
    <mergeCell ref="G33:J33"/>
    <mergeCell ref="O32:R32"/>
    <mergeCell ref="K32:N32"/>
    <mergeCell ref="G32:J32"/>
    <mergeCell ref="AK32:AN32"/>
    <mergeCell ref="AX32:BA32"/>
    <mergeCell ref="AB32:AE32"/>
    <mergeCell ref="AX26:BA26"/>
    <mergeCell ref="S27:W27"/>
    <mergeCell ref="X27:AA27"/>
    <mergeCell ref="AB27:AE27"/>
    <mergeCell ref="AF27:AJ27"/>
    <mergeCell ref="S32:W32"/>
    <mergeCell ref="X32:AA32"/>
    <mergeCell ref="S34:W34"/>
    <mergeCell ref="X34:AA34"/>
    <mergeCell ref="AB34:AE34"/>
    <mergeCell ref="AF34:AJ34"/>
    <mergeCell ref="S22:W22"/>
    <mergeCell ref="AF32:AJ32"/>
    <mergeCell ref="AK34:AN34"/>
    <mergeCell ref="AX34:BA34"/>
    <mergeCell ref="K33:N33"/>
    <mergeCell ref="K34:N34"/>
    <mergeCell ref="X33:AA33"/>
    <mergeCell ref="AB33:AE33"/>
    <mergeCell ref="AF33:AJ33"/>
    <mergeCell ref="AK33:AN33"/>
    <mergeCell ref="O33:R33"/>
    <mergeCell ref="S33:W33"/>
    <mergeCell ref="G34:J34"/>
    <mergeCell ref="G35:J35"/>
    <mergeCell ref="B32:F32"/>
    <mergeCell ref="B33:F33"/>
    <mergeCell ref="B34:F34"/>
    <mergeCell ref="B35:F35"/>
    <mergeCell ref="AO32:AS32"/>
    <mergeCell ref="AO33:AS33"/>
    <mergeCell ref="AO34:AS34"/>
    <mergeCell ref="AO35:AS35"/>
    <mergeCell ref="AT32:AW32"/>
    <mergeCell ref="AT33:AW33"/>
    <mergeCell ref="AT34:AW34"/>
    <mergeCell ref="AT35:AW35"/>
    <mergeCell ref="O35:R35"/>
    <mergeCell ref="S35:W35"/>
    <mergeCell ref="K35:N35"/>
    <mergeCell ref="AX33:BA33"/>
    <mergeCell ref="O34:R34"/>
    <mergeCell ref="X35:AA35"/>
    <mergeCell ref="AB35:AE35"/>
    <mergeCell ref="AF35:AJ35"/>
    <mergeCell ref="AK35:AN35"/>
    <mergeCell ref="AX35:BA35"/>
    <mergeCell ref="AO26:AS26"/>
    <mergeCell ref="AK27:AN27"/>
    <mergeCell ref="AO27:AS27"/>
    <mergeCell ref="AT27:AW27"/>
    <mergeCell ref="AX27:BA27"/>
    <mergeCell ref="B27:F27"/>
    <mergeCell ref="G27:J27"/>
    <mergeCell ref="K27:N27"/>
    <mergeCell ref="O27:R27"/>
    <mergeCell ref="B26:F26"/>
    <mergeCell ref="AT26:AW26"/>
    <mergeCell ref="G26:J26"/>
    <mergeCell ref="K26:N26"/>
    <mergeCell ref="O26:R26"/>
    <mergeCell ref="S26:W26"/>
    <mergeCell ref="X26:AA26"/>
    <mergeCell ref="AB26:AE26"/>
    <mergeCell ref="AF26:AJ26"/>
    <mergeCell ref="AK26:AN26"/>
  </mergeCells>
  <phoneticPr fontId="0" type="noConversion"/>
  <pageMargins left="0.7" right="0.7" top="0.75" bottom="0.75" header="0.3" footer="0.3"/>
  <pageSetup scale="7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F35"/>
  <sheetViews>
    <sheetView tabSelected="1" zoomScale="85" zoomScaleNormal="85" workbookViewId="0">
      <selection activeCell="AF20" sqref="AF20"/>
    </sheetView>
  </sheetViews>
  <sheetFormatPr defaultRowHeight="12.75"/>
  <cols>
    <col min="1" max="1" width="29.5703125" style="70" customWidth="1"/>
    <col min="2" max="41" width="3.28515625" customWidth="1"/>
    <col min="42" max="44" width="4" customWidth="1"/>
    <col min="45" max="45" width="4.42578125" customWidth="1"/>
    <col min="46" max="47" width="4.28515625" customWidth="1"/>
    <col min="48" max="48" width="4.42578125" customWidth="1"/>
    <col min="49" max="49" width="5.28515625" customWidth="1"/>
    <col min="50" max="52" width="3.28515625" customWidth="1"/>
    <col min="53" max="53" width="4.5703125" customWidth="1"/>
    <col min="54" max="54" width="5" customWidth="1"/>
    <col min="55" max="55" width="7.140625" style="55" customWidth="1"/>
    <col min="56" max="56" width="11.42578125" style="55" bestFit="1" customWidth="1"/>
  </cols>
  <sheetData>
    <row r="1" spans="1:58">
      <c r="A1" s="336" t="s">
        <v>22</v>
      </c>
      <c r="B1" s="329" t="s">
        <v>2</v>
      </c>
      <c r="C1" s="329"/>
      <c r="D1" s="329"/>
      <c r="E1" s="329"/>
      <c r="F1" s="330"/>
      <c r="G1" s="328" t="s">
        <v>3</v>
      </c>
      <c r="H1" s="329"/>
      <c r="I1" s="329"/>
      <c r="J1" s="330"/>
      <c r="K1" s="328" t="s">
        <v>4</v>
      </c>
      <c r="L1" s="329"/>
      <c r="M1" s="329"/>
      <c r="N1" s="330"/>
      <c r="O1" s="328" t="s">
        <v>5</v>
      </c>
      <c r="P1" s="329"/>
      <c r="Q1" s="329"/>
      <c r="R1" s="330"/>
      <c r="S1" s="328" t="s">
        <v>6</v>
      </c>
      <c r="T1" s="329"/>
      <c r="U1" s="329"/>
      <c r="V1" s="329"/>
      <c r="W1" s="330"/>
      <c r="X1" s="328" t="s">
        <v>7</v>
      </c>
      <c r="Y1" s="329"/>
      <c r="Z1" s="329"/>
      <c r="AA1" s="330"/>
      <c r="AB1" s="328" t="s">
        <v>8</v>
      </c>
      <c r="AC1" s="329"/>
      <c r="AD1" s="329"/>
      <c r="AE1" s="329"/>
      <c r="AF1" s="371"/>
      <c r="AG1" s="372" t="s">
        <v>9</v>
      </c>
      <c r="AH1" s="373"/>
      <c r="AI1" s="373"/>
      <c r="AJ1" s="374"/>
      <c r="AK1" s="373" t="s">
        <v>66</v>
      </c>
      <c r="AL1" s="373"/>
      <c r="AM1" s="373"/>
      <c r="AN1" s="374"/>
      <c r="AO1" s="373" t="s">
        <v>11</v>
      </c>
      <c r="AP1" s="373"/>
      <c r="AQ1" s="373"/>
      <c r="AR1" s="373"/>
      <c r="AS1" s="373"/>
      <c r="AT1" s="377" t="s">
        <v>12</v>
      </c>
      <c r="AU1" s="378"/>
      <c r="AV1" s="378"/>
      <c r="AW1" s="379"/>
      <c r="AX1" s="372" t="s">
        <v>13</v>
      </c>
      <c r="AY1" s="373"/>
      <c r="AZ1" s="373"/>
      <c r="BA1" s="373"/>
      <c r="BB1" s="380"/>
      <c r="BC1" s="375" t="s">
        <v>0</v>
      </c>
      <c r="BD1" s="369" t="s">
        <v>1</v>
      </c>
    </row>
    <row r="2" spans="1:58" ht="13.5" thickBot="1">
      <c r="A2" s="337"/>
      <c r="B2" s="31">
        <v>27</v>
      </c>
      <c r="C2" s="32">
        <v>3</v>
      </c>
      <c r="D2" s="32">
        <v>10</v>
      </c>
      <c r="E2" s="32">
        <v>17</v>
      </c>
      <c r="F2" s="32">
        <v>24</v>
      </c>
      <c r="G2" s="32">
        <v>31</v>
      </c>
      <c r="H2" s="32">
        <v>7</v>
      </c>
      <c r="I2" s="32">
        <v>14</v>
      </c>
      <c r="J2" s="32">
        <v>21</v>
      </c>
      <c r="K2" s="32">
        <v>28</v>
      </c>
      <c r="L2" s="32">
        <v>7</v>
      </c>
      <c r="M2" s="32">
        <v>14</v>
      </c>
      <c r="N2" s="32">
        <v>21</v>
      </c>
      <c r="O2" s="32">
        <v>28</v>
      </c>
      <c r="P2" s="32">
        <v>4</v>
      </c>
      <c r="Q2" s="32">
        <v>11</v>
      </c>
      <c r="R2" s="32">
        <v>18</v>
      </c>
      <c r="S2" s="32">
        <v>25</v>
      </c>
      <c r="T2" s="32">
        <v>2</v>
      </c>
      <c r="U2" s="32">
        <v>9</v>
      </c>
      <c r="V2" s="32">
        <v>16</v>
      </c>
      <c r="W2" s="32">
        <v>23</v>
      </c>
      <c r="X2" s="32">
        <v>30</v>
      </c>
      <c r="Y2" s="32">
        <v>6</v>
      </c>
      <c r="Z2" s="32">
        <v>13</v>
      </c>
      <c r="AA2" s="32">
        <v>20</v>
      </c>
      <c r="AB2" s="32">
        <v>27</v>
      </c>
      <c r="AC2" s="32">
        <v>4</v>
      </c>
      <c r="AD2" s="32">
        <v>11</v>
      </c>
      <c r="AE2" s="32">
        <v>18</v>
      </c>
      <c r="AF2" s="240">
        <v>25</v>
      </c>
      <c r="AG2" s="230">
        <v>30</v>
      </c>
      <c r="AH2" s="230">
        <v>7</v>
      </c>
      <c r="AI2" s="230">
        <v>14</v>
      </c>
      <c r="AJ2" s="232">
        <v>21</v>
      </c>
      <c r="AK2" s="230">
        <v>28</v>
      </c>
      <c r="AL2" s="230">
        <v>4</v>
      </c>
      <c r="AM2" s="230">
        <v>11</v>
      </c>
      <c r="AN2" s="232">
        <v>18</v>
      </c>
      <c r="AO2" s="230">
        <v>30</v>
      </c>
      <c r="AP2" s="230">
        <v>2</v>
      </c>
      <c r="AQ2" s="230">
        <v>9</v>
      </c>
      <c r="AR2" s="230">
        <v>16</v>
      </c>
      <c r="AS2" s="230">
        <v>23</v>
      </c>
      <c r="AT2" s="236">
        <v>31</v>
      </c>
      <c r="AU2" s="230">
        <v>6</v>
      </c>
      <c r="AV2" s="230">
        <v>13</v>
      </c>
      <c r="AW2" s="232">
        <v>20</v>
      </c>
      <c r="AX2" s="230">
        <v>30</v>
      </c>
      <c r="AY2" s="230">
        <v>4</v>
      </c>
      <c r="AZ2" s="230">
        <v>11</v>
      </c>
      <c r="BA2" s="230">
        <v>18</v>
      </c>
      <c r="BB2" s="230">
        <v>25</v>
      </c>
      <c r="BC2" s="376"/>
      <c r="BD2" s="370"/>
    </row>
    <row r="3" spans="1:58" ht="16.5" customHeight="1">
      <c r="A3" s="50" t="s">
        <v>25</v>
      </c>
      <c r="B3" s="15"/>
      <c r="C3" s="6"/>
      <c r="D3" s="6"/>
      <c r="E3" s="6"/>
      <c r="F3" s="7"/>
      <c r="G3" s="5"/>
      <c r="H3" s="6"/>
      <c r="I3" s="6"/>
      <c r="J3" s="7"/>
      <c r="K3" s="5"/>
      <c r="L3" s="6"/>
      <c r="M3" s="6"/>
      <c r="N3" s="7"/>
      <c r="O3" s="5"/>
      <c r="P3" s="6"/>
      <c r="Q3" s="6"/>
      <c r="R3" s="7"/>
      <c r="S3" s="5"/>
      <c r="T3" s="6"/>
      <c r="U3" s="6"/>
      <c r="V3" s="6"/>
      <c r="W3" s="7"/>
      <c r="X3" s="5"/>
      <c r="Y3" s="6"/>
      <c r="Z3" s="6"/>
      <c r="AA3" s="7"/>
      <c r="AB3" s="5"/>
      <c r="AC3" s="6"/>
      <c r="AD3" s="6"/>
      <c r="AE3" s="6"/>
      <c r="AF3" s="233"/>
      <c r="AG3" s="8"/>
      <c r="AH3" s="8"/>
      <c r="AI3" s="8"/>
      <c r="AJ3" s="233"/>
      <c r="AK3" s="8"/>
      <c r="AL3" s="8"/>
      <c r="AM3" s="8"/>
      <c r="AN3" s="233"/>
      <c r="AO3" s="8"/>
      <c r="AP3" s="8"/>
      <c r="AQ3" s="8"/>
      <c r="AR3" s="8"/>
      <c r="AS3" s="8"/>
      <c r="AT3" s="237"/>
      <c r="AU3" s="8"/>
      <c r="AV3" s="8"/>
      <c r="AW3" s="233"/>
      <c r="AX3" s="8"/>
      <c r="AY3" s="8"/>
      <c r="AZ3" s="8"/>
      <c r="BA3" s="8"/>
      <c r="BB3" s="8"/>
      <c r="BC3" s="71"/>
      <c r="BD3" s="72"/>
    </row>
    <row r="4" spans="1:58" ht="16.5" customHeight="1">
      <c r="A4" s="28" t="s">
        <v>14</v>
      </c>
      <c r="B4" s="286"/>
      <c r="C4" s="10"/>
      <c r="D4" s="10"/>
      <c r="E4" s="10"/>
      <c r="F4" s="11"/>
      <c r="G4" s="9"/>
      <c r="H4" s="10"/>
      <c r="I4" s="10"/>
      <c r="J4" s="11"/>
      <c r="K4" s="9"/>
      <c r="L4" s="10"/>
      <c r="M4" s="10"/>
      <c r="N4" s="11"/>
      <c r="O4" s="9"/>
      <c r="P4" s="10"/>
      <c r="Q4" s="10"/>
      <c r="R4" s="11"/>
      <c r="S4" s="9"/>
      <c r="T4" s="10"/>
      <c r="U4" s="10"/>
      <c r="V4" s="10"/>
      <c r="W4" s="11"/>
      <c r="X4" s="9"/>
      <c r="Y4" s="10"/>
      <c r="Z4" s="10"/>
      <c r="AA4" s="11"/>
      <c r="AB4" s="9"/>
      <c r="AC4" s="10"/>
      <c r="AD4" s="10"/>
      <c r="AE4" s="10"/>
      <c r="AF4" s="234"/>
      <c r="AG4" s="16"/>
      <c r="AH4" s="16"/>
      <c r="AI4" s="16"/>
      <c r="AJ4" s="234"/>
      <c r="AK4" s="16"/>
      <c r="AL4" s="16"/>
      <c r="AM4" s="16"/>
      <c r="AN4" s="234"/>
      <c r="AO4" s="16"/>
      <c r="AP4" s="16"/>
      <c r="AQ4" s="16"/>
      <c r="AR4" s="16"/>
      <c r="AS4" s="16"/>
      <c r="AT4" s="238"/>
      <c r="AU4" s="16"/>
      <c r="AV4" s="16"/>
      <c r="AW4" s="234"/>
      <c r="AX4" s="16"/>
      <c r="AY4" s="16"/>
      <c r="AZ4" s="16"/>
      <c r="BA4" s="16"/>
      <c r="BB4" s="16"/>
      <c r="BC4" s="81"/>
      <c r="BD4" s="80"/>
      <c r="BE4" s="13"/>
    </row>
    <row r="5" spans="1:58">
      <c r="A5" s="269" t="s">
        <v>0</v>
      </c>
      <c r="B5" s="366"/>
      <c r="C5" s="367"/>
      <c r="D5" s="367"/>
      <c r="E5" s="367"/>
      <c r="F5" s="368"/>
      <c r="G5" s="359">
        <v>137</v>
      </c>
      <c r="H5" s="360"/>
      <c r="I5" s="360"/>
      <c r="J5" s="362"/>
      <c r="K5" s="359">
        <v>144</v>
      </c>
      <c r="L5" s="360"/>
      <c r="M5" s="360"/>
      <c r="N5" s="362"/>
      <c r="O5" s="359">
        <v>128</v>
      </c>
      <c r="P5" s="360"/>
      <c r="Q5" s="360"/>
      <c r="R5" s="362"/>
      <c r="S5" s="359">
        <v>239</v>
      </c>
      <c r="T5" s="360"/>
      <c r="U5" s="360"/>
      <c r="V5" s="360"/>
      <c r="W5" s="362"/>
      <c r="X5" s="359">
        <v>41</v>
      </c>
      <c r="Y5" s="360"/>
      <c r="Z5" s="360"/>
      <c r="AA5" s="362"/>
      <c r="AB5" s="359"/>
      <c r="AC5" s="360"/>
      <c r="AD5" s="360"/>
      <c r="AE5" s="360"/>
      <c r="AF5" s="362"/>
      <c r="AG5" s="359"/>
      <c r="AH5" s="360"/>
      <c r="AI5" s="360"/>
      <c r="AJ5" s="362"/>
      <c r="AK5" s="359"/>
      <c r="AL5" s="360"/>
      <c r="AM5" s="360"/>
      <c r="AN5" s="362"/>
      <c r="AO5" s="359"/>
      <c r="AP5" s="360"/>
      <c r="AQ5" s="360"/>
      <c r="AR5" s="360"/>
      <c r="AS5" s="362"/>
      <c r="AT5" s="359"/>
      <c r="AU5" s="360"/>
      <c r="AV5" s="360"/>
      <c r="AW5" s="362"/>
      <c r="AX5" s="359"/>
      <c r="AY5" s="360"/>
      <c r="AZ5" s="360"/>
      <c r="BA5" s="360"/>
      <c r="BB5" s="361"/>
      <c r="BC5" s="280">
        <v>689</v>
      </c>
      <c r="BD5" s="264"/>
    </row>
    <row r="6" spans="1:58" ht="16.5" customHeight="1">
      <c r="A6" s="49" t="s">
        <v>72</v>
      </c>
      <c r="B6" s="311"/>
      <c r="C6" s="311"/>
      <c r="D6" s="311"/>
      <c r="E6" s="311"/>
      <c r="F6" s="312"/>
      <c r="G6" s="310">
        <f>(702054+625265+583712+31735)</f>
        <v>1942766</v>
      </c>
      <c r="H6" s="311"/>
      <c r="I6" s="311"/>
      <c r="J6" s="312"/>
      <c r="K6" s="310">
        <f>(8196+746480+560559+633030+33356)</f>
        <v>1981621</v>
      </c>
      <c r="L6" s="311"/>
      <c r="M6" s="311"/>
      <c r="N6" s="312"/>
      <c r="O6" s="310">
        <f>(550309+573064+752606+29651)</f>
        <v>1905630</v>
      </c>
      <c r="P6" s="311"/>
      <c r="Q6" s="311"/>
      <c r="R6" s="312"/>
      <c r="S6" s="310">
        <f>(638849+632465+579507+721269+668826+55364)</f>
        <v>3296280</v>
      </c>
      <c r="T6" s="311"/>
      <c r="U6" s="311"/>
      <c r="V6" s="311"/>
      <c r="W6" s="312"/>
      <c r="X6" s="310">
        <f>(589625+9498)</f>
        <v>599123</v>
      </c>
      <c r="Y6" s="311"/>
      <c r="Z6" s="311"/>
      <c r="AA6" s="312"/>
      <c r="AB6" s="310"/>
      <c r="AC6" s="311"/>
      <c r="AD6" s="311"/>
      <c r="AE6" s="311"/>
      <c r="AF6" s="312"/>
      <c r="AG6" s="85"/>
      <c r="AH6" s="85"/>
      <c r="AI6" s="85"/>
      <c r="AJ6" s="86"/>
      <c r="AK6" s="85"/>
      <c r="AL6" s="85"/>
      <c r="AM6" s="85"/>
      <c r="AN6" s="86"/>
      <c r="AO6" s="85"/>
      <c r="AP6" s="85"/>
      <c r="AQ6" s="85"/>
      <c r="AR6" s="85"/>
      <c r="AS6" s="85"/>
      <c r="AT6" s="87"/>
      <c r="AU6" s="85"/>
      <c r="AV6" s="85"/>
      <c r="AW6" s="86"/>
      <c r="AX6" s="85"/>
      <c r="AY6" s="85"/>
      <c r="AZ6" s="85"/>
      <c r="BA6" s="85"/>
      <c r="BB6" s="85"/>
      <c r="BC6" s="75">
        <f>BC5</f>
        <v>689</v>
      </c>
      <c r="BD6" s="76">
        <f>SUM(B6:AF6)</f>
        <v>9725420</v>
      </c>
      <c r="BE6" s="57"/>
      <c r="BF6" s="13"/>
    </row>
    <row r="7" spans="1:58" ht="16.5" customHeight="1">
      <c r="A7" s="69"/>
      <c r="B7" s="15"/>
      <c r="C7" s="6"/>
      <c r="D7" s="6"/>
      <c r="E7" s="6"/>
      <c r="F7" s="7"/>
      <c r="G7" s="5"/>
      <c r="H7" s="6"/>
      <c r="I7" s="6"/>
      <c r="J7" s="7"/>
      <c r="K7" s="5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6"/>
      <c r="AF7" s="233"/>
      <c r="AG7" s="8"/>
      <c r="AH7" s="8"/>
      <c r="AI7" s="8"/>
      <c r="AJ7" s="233"/>
      <c r="AK7" s="8"/>
      <c r="AL7" s="8"/>
      <c r="AM7" s="8"/>
      <c r="AN7" s="233"/>
      <c r="AO7" s="8"/>
      <c r="AP7" s="8"/>
      <c r="AQ7" s="8"/>
      <c r="AR7" s="8"/>
      <c r="AS7" s="8"/>
      <c r="AT7" s="237"/>
      <c r="AU7" s="8"/>
      <c r="AV7" s="8"/>
      <c r="AW7" s="233"/>
      <c r="AX7" s="8"/>
      <c r="AY7" s="8"/>
      <c r="AZ7" s="8"/>
      <c r="BA7" s="8"/>
      <c r="BB7" s="8"/>
      <c r="BC7" s="77"/>
      <c r="BD7" s="74"/>
    </row>
    <row r="8" spans="1:58" ht="16.5" customHeight="1">
      <c r="A8" s="28" t="s">
        <v>18</v>
      </c>
      <c r="B8" s="68"/>
      <c r="C8" s="10"/>
      <c r="D8" s="10"/>
      <c r="E8" s="10"/>
      <c r="F8" s="11"/>
      <c r="G8" s="9"/>
      <c r="H8" s="10"/>
      <c r="I8" s="10"/>
      <c r="J8" s="11"/>
      <c r="K8" s="9"/>
      <c r="L8" s="10"/>
      <c r="M8" s="10"/>
      <c r="N8" s="11"/>
      <c r="O8" s="9"/>
      <c r="P8" s="10"/>
      <c r="Q8" s="10"/>
      <c r="R8" s="11"/>
      <c r="S8" s="9"/>
      <c r="T8" s="10"/>
      <c r="U8" s="10"/>
      <c r="V8" s="10"/>
      <c r="W8" s="11"/>
      <c r="X8" s="9"/>
      <c r="Y8" s="10"/>
      <c r="Z8" s="10"/>
      <c r="AA8" s="11"/>
      <c r="AB8" s="9"/>
      <c r="AC8" s="10"/>
      <c r="AD8" s="10"/>
      <c r="AE8" s="10"/>
      <c r="AF8" s="234"/>
      <c r="AG8" s="16"/>
      <c r="AH8" s="16"/>
      <c r="AI8" s="16"/>
      <c r="AJ8" s="234"/>
      <c r="AK8" s="16"/>
      <c r="AL8" s="16"/>
      <c r="AM8" s="16"/>
      <c r="AN8" s="234"/>
      <c r="AO8" s="16"/>
      <c r="AP8" s="16"/>
      <c r="AQ8" s="16"/>
      <c r="AR8" s="16"/>
      <c r="AS8" s="16"/>
      <c r="AT8" s="238"/>
      <c r="AU8" s="16"/>
      <c r="AV8" s="16"/>
      <c r="AW8" s="234"/>
      <c r="AX8" s="16"/>
      <c r="AY8" s="16"/>
      <c r="AZ8" s="16"/>
      <c r="BA8" s="16"/>
      <c r="BB8" s="16"/>
      <c r="BC8" s="81"/>
      <c r="BD8" s="287"/>
    </row>
    <row r="9" spans="1:58">
      <c r="A9" s="269" t="s">
        <v>0</v>
      </c>
      <c r="B9" s="366"/>
      <c r="C9" s="367"/>
      <c r="D9" s="367"/>
      <c r="E9" s="367"/>
      <c r="F9" s="368"/>
      <c r="G9" s="359">
        <v>87</v>
      </c>
      <c r="H9" s="360"/>
      <c r="I9" s="360"/>
      <c r="J9" s="362"/>
      <c r="K9" s="359">
        <v>78</v>
      </c>
      <c r="L9" s="360"/>
      <c r="M9" s="360"/>
      <c r="N9" s="362"/>
      <c r="O9" s="359">
        <v>110</v>
      </c>
      <c r="P9" s="360"/>
      <c r="Q9" s="360"/>
      <c r="R9" s="362"/>
      <c r="S9" s="359">
        <v>85</v>
      </c>
      <c r="T9" s="360"/>
      <c r="U9" s="360"/>
      <c r="V9" s="360"/>
      <c r="W9" s="362"/>
      <c r="X9" s="359">
        <v>12</v>
      </c>
      <c r="Y9" s="360"/>
      <c r="Z9" s="360"/>
      <c r="AA9" s="362"/>
      <c r="AB9" s="359"/>
      <c r="AC9" s="360"/>
      <c r="AD9" s="360"/>
      <c r="AE9" s="360"/>
      <c r="AF9" s="362"/>
      <c r="AG9" s="359"/>
      <c r="AH9" s="360"/>
      <c r="AI9" s="360"/>
      <c r="AJ9" s="362"/>
      <c r="AK9" s="359"/>
      <c r="AL9" s="360"/>
      <c r="AM9" s="360"/>
      <c r="AN9" s="362"/>
      <c r="AO9" s="359"/>
      <c r="AP9" s="360"/>
      <c r="AQ9" s="360"/>
      <c r="AR9" s="360"/>
      <c r="AS9" s="362"/>
      <c r="AT9" s="359"/>
      <c r="AU9" s="360"/>
      <c r="AV9" s="360"/>
      <c r="AW9" s="362"/>
      <c r="AX9" s="359"/>
      <c r="AY9" s="360"/>
      <c r="AZ9" s="360"/>
      <c r="BA9" s="360"/>
      <c r="BB9" s="361"/>
      <c r="BC9" s="280">
        <v>372</v>
      </c>
      <c r="BD9" s="264"/>
    </row>
    <row r="10" spans="1:58" ht="16.5" customHeight="1">
      <c r="A10" s="49" t="s">
        <v>72</v>
      </c>
      <c r="B10" s="311"/>
      <c r="C10" s="311"/>
      <c r="D10" s="311"/>
      <c r="E10" s="311"/>
      <c r="F10" s="312"/>
      <c r="G10" s="310">
        <f>(787200+779850+1765950+46568)</f>
        <v>3379568</v>
      </c>
      <c r="H10" s="311"/>
      <c r="I10" s="311"/>
      <c r="J10" s="312"/>
      <c r="K10" s="310">
        <f>(741150+1203150+1058700+41750)</f>
        <v>3044750</v>
      </c>
      <c r="L10" s="311"/>
      <c r="M10" s="311"/>
      <c r="N10" s="312"/>
      <c r="O10" s="310">
        <f>(3040650+1545900+1319850+58878)</f>
        <v>5965278</v>
      </c>
      <c r="P10" s="311"/>
      <c r="Q10" s="311"/>
      <c r="R10" s="312"/>
      <c r="S10" s="310">
        <f>(1599300+680700+1410450+674100+292650+45497)</f>
        <v>4702697</v>
      </c>
      <c r="T10" s="311"/>
      <c r="U10" s="311"/>
      <c r="V10" s="311"/>
      <c r="W10" s="312"/>
      <c r="X10" s="310">
        <f>(494400+6423)</f>
        <v>500823</v>
      </c>
      <c r="Y10" s="311"/>
      <c r="Z10" s="311"/>
      <c r="AA10" s="312"/>
      <c r="AB10" s="310"/>
      <c r="AC10" s="311"/>
      <c r="AD10" s="311"/>
      <c r="AE10" s="311"/>
      <c r="AF10" s="312"/>
      <c r="AG10" s="85"/>
      <c r="AH10" s="85"/>
      <c r="AI10" s="85"/>
      <c r="AJ10" s="86"/>
      <c r="AK10" s="85"/>
      <c r="AL10" s="85"/>
      <c r="AM10" s="85"/>
      <c r="AN10" s="86"/>
      <c r="AO10" s="85"/>
      <c r="AP10" s="85"/>
      <c r="AQ10" s="85"/>
      <c r="AR10" s="85"/>
      <c r="AS10" s="85"/>
      <c r="AT10" s="87"/>
      <c r="AU10" s="85"/>
      <c r="AV10" s="85"/>
      <c r="AW10" s="86"/>
      <c r="AX10" s="85"/>
      <c r="AY10" s="85"/>
      <c r="AZ10" s="85"/>
      <c r="BA10" s="85"/>
      <c r="BB10" s="85"/>
      <c r="BC10" s="75">
        <f>BC9</f>
        <v>372</v>
      </c>
      <c r="BD10" s="76">
        <f>SUM(B10:AF10)</f>
        <v>17593116</v>
      </c>
      <c r="BE10" s="57"/>
      <c r="BF10" s="13"/>
    </row>
    <row r="11" spans="1:58" ht="16.5" customHeight="1">
      <c r="A11" s="69"/>
      <c r="B11" s="15"/>
      <c r="C11" s="6"/>
      <c r="D11" s="6"/>
      <c r="E11" s="6"/>
      <c r="F11" s="7"/>
      <c r="G11" s="5"/>
      <c r="H11" s="6"/>
      <c r="I11" s="6"/>
      <c r="J11" s="7"/>
      <c r="K11" s="5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6"/>
      <c r="AF11" s="233"/>
      <c r="AG11" s="8"/>
      <c r="AH11" s="8"/>
      <c r="AI11" s="8"/>
      <c r="AJ11" s="233"/>
      <c r="AK11" s="8"/>
      <c r="AL11" s="8"/>
      <c r="AM11" s="8"/>
      <c r="AN11" s="233"/>
      <c r="AO11" s="8"/>
      <c r="AP11" s="8"/>
      <c r="AQ11" s="8"/>
      <c r="AR11" s="8"/>
      <c r="AS11" s="8"/>
      <c r="AT11" s="237"/>
      <c r="AU11" s="8"/>
      <c r="AV11" s="8"/>
      <c r="AW11" s="233"/>
      <c r="AX11" s="8"/>
      <c r="AY11" s="8"/>
      <c r="AZ11" s="8"/>
      <c r="BA11" s="8"/>
      <c r="BB11" s="8"/>
      <c r="BC11" s="73"/>
      <c r="BD11" s="78"/>
    </row>
    <row r="12" spans="1:58" ht="16.5" customHeight="1">
      <c r="A12" s="28" t="s">
        <v>19</v>
      </c>
      <c r="B12" s="68"/>
      <c r="C12" s="10"/>
      <c r="D12" s="10"/>
      <c r="E12" s="10"/>
      <c r="F12" s="11"/>
      <c r="G12" s="9"/>
      <c r="H12" s="10"/>
      <c r="I12" s="10"/>
      <c r="J12" s="11"/>
      <c r="K12" s="9"/>
      <c r="L12" s="10"/>
      <c r="M12" s="10"/>
      <c r="N12" s="11"/>
      <c r="O12" s="9"/>
      <c r="P12" s="10"/>
      <c r="Q12" s="10"/>
      <c r="R12" s="11"/>
      <c r="S12" s="9"/>
      <c r="T12" s="10"/>
      <c r="U12" s="10"/>
      <c r="V12" s="10"/>
      <c r="W12" s="11"/>
      <c r="X12" s="9"/>
      <c r="Y12" s="10"/>
      <c r="Z12" s="10"/>
      <c r="AA12" s="11"/>
      <c r="AB12" s="9"/>
      <c r="AC12" s="10"/>
      <c r="AD12" s="10"/>
      <c r="AE12" s="10"/>
      <c r="AF12" s="234"/>
      <c r="AG12" s="16"/>
      <c r="AH12" s="16"/>
      <c r="AI12" s="16"/>
      <c r="AJ12" s="234"/>
      <c r="AK12" s="16"/>
      <c r="AL12" s="16"/>
      <c r="AM12" s="16"/>
      <c r="AN12" s="234"/>
      <c r="AO12" s="16"/>
      <c r="AP12" s="16"/>
      <c r="AQ12" s="16"/>
      <c r="AR12" s="16"/>
      <c r="AS12" s="16"/>
      <c r="AT12" s="238"/>
      <c r="AU12" s="16"/>
      <c r="AV12" s="16"/>
      <c r="AW12" s="234"/>
      <c r="AX12" s="16"/>
      <c r="AY12" s="16"/>
      <c r="AZ12" s="16"/>
      <c r="BA12" s="16"/>
      <c r="BB12" s="16"/>
      <c r="BC12" s="79"/>
      <c r="BD12" s="80"/>
      <c r="BE12" s="13"/>
    </row>
    <row r="13" spans="1:58">
      <c r="A13" s="269" t="s">
        <v>0</v>
      </c>
      <c r="B13" s="366"/>
      <c r="C13" s="367"/>
      <c r="D13" s="367"/>
      <c r="E13" s="367"/>
      <c r="F13" s="368"/>
      <c r="G13" s="359">
        <v>8</v>
      </c>
      <c r="H13" s="360"/>
      <c r="I13" s="360"/>
      <c r="J13" s="362"/>
      <c r="K13" s="359">
        <v>14</v>
      </c>
      <c r="L13" s="360"/>
      <c r="M13" s="360"/>
      <c r="N13" s="362"/>
      <c r="O13" s="359">
        <v>10</v>
      </c>
      <c r="P13" s="360"/>
      <c r="Q13" s="360"/>
      <c r="R13" s="362"/>
      <c r="S13" s="359">
        <v>16</v>
      </c>
      <c r="T13" s="360"/>
      <c r="U13" s="360"/>
      <c r="V13" s="360"/>
      <c r="W13" s="362"/>
      <c r="X13" s="359"/>
      <c r="Y13" s="360"/>
      <c r="Z13" s="360"/>
      <c r="AA13" s="362"/>
      <c r="AB13" s="359"/>
      <c r="AC13" s="360"/>
      <c r="AD13" s="360"/>
      <c r="AE13" s="360"/>
      <c r="AF13" s="362"/>
      <c r="AG13" s="359"/>
      <c r="AH13" s="360"/>
      <c r="AI13" s="360"/>
      <c r="AJ13" s="362"/>
      <c r="AK13" s="359"/>
      <c r="AL13" s="360"/>
      <c r="AM13" s="360"/>
      <c r="AN13" s="362"/>
      <c r="AO13" s="359"/>
      <c r="AP13" s="360"/>
      <c r="AQ13" s="360"/>
      <c r="AR13" s="360"/>
      <c r="AS13" s="362"/>
      <c r="AT13" s="359"/>
      <c r="AU13" s="360"/>
      <c r="AV13" s="360"/>
      <c r="AW13" s="362"/>
      <c r="AX13" s="359"/>
      <c r="AY13" s="360"/>
      <c r="AZ13" s="360"/>
      <c r="BA13" s="360"/>
      <c r="BB13" s="361"/>
      <c r="BC13" s="280">
        <v>48</v>
      </c>
      <c r="BD13" s="264"/>
    </row>
    <row r="14" spans="1:58" ht="16.5" customHeight="1">
      <c r="A14" s="49" t="s">
        <v>72</v>
      </c>
      <c r="B14" s="311"/>
      <c r="C14" s="311"/>
      <c r="D14" s="311"/>
      <c r="E14" s="311"/>
      <c r="F14" s="312"/>
      <c r="G14" s="310">
        <f>(3250+52166+77548+74373+1468)</f>
        <v>208805</v>
      </c>
      <c r="H14" s="311"/>
      <c r="I14" s="311"/>
      <c r="J14" s="312"/>
      <c r="K14" s="310">
        <f>(6667+102790+109090+88087+2568)</f>
        <v>309202</v>
      </c>
      <c r="L14" s="311"/>
      <c r="M14" s="311"/>
      <c r="N14" s="312"/>
      <c r="O14" s="310">
        <f>(140288+84543+2142+67718+1835)</f>
        <v>296526</v>
      </c>
      <c r="P14" s="311"/>
      <c r="Q14" s="311"/>
      <c r="R14" s="312"/>
      <c r="S14" s="310">
        <f>(408.946*1000)+2935</f>
        <v>411881</v>
      </c>
      <c r="T14" s="311"/>
      <c r="U14" s="311"/>
      <c r="V14" s="311"/>
      <c r="W14" s="312"/>
      <c r="X14" s="310">
        <f>(15838+606)</f>
        <v>16444</v>
      </c>
      <c r="Y14" s="311"/>
      <c r="Z14" s="311"/>
      <c r="AA14" s="312"/>
      <c r="AB14" s="310"/>
      <c r="AC14" s="311"/>
      <c r="AD14" s="311"/>
      <c r="AE14" s="311"/>
      <c r="AF14" s="312"/>
      <c r="AG14" s="85"/>
      <c r="AH14" s="85"/>
      <c r="AI14" s="85"/>
      <c r="AJ14" s="86"/>
      <c r="AK14" s="85"/>
      <c r="AL14" s="85"/>
      <c r="AM14" s="85"/>
      <c r="AN14" s="86"/>
      <c r="AO14" s="85"/>
      <c r="AP14" s="85"/>
      <c r="AQ14" s="85"/>
      <c r="AR14" s="85"/>
      <c r="AS14" s="85"/>
      <c r="AT14" s="87"/>
      <c r="AU14" s="85"/>
      <c r="AV14" s="85"/>
      <c r="AW14" s="86"/>
      <c r="AX14" s="85"/>
      <c r="AY14" s="85"/>
      <c r="AZ14" s="85"/>
      <c r="BA14" s="85"/>
      <c r="BB14" s="85"/>
      <c r="BC14" s="75">
        <f>BC13</f>
        <v>48</v>
      </c>
      <c r="BD14" s="76">
        <f>SUM(B14:AF14)</f>
        <v>1242858</v>
      </c>
      <c r="BE14" s="57"/>
      <c r="BF14" s="13"/>
    </row>
    <row r="15" spans="1:58" ht="16.5" customHeight="1">
      <c r="A15" s="69"/>
      <c r="B15" s="15"/>
      <c r="C15" s="6"/>
      <c r="D15" s="6"/>
      <c r="E15" s="6"/>
      <c r="F15" s="7"/>
      <c r="G15" s="5"/>
      <c r="H15" s="6"/>
      <c r="I15" s="6"/>
      <c r="J15" s="7"/>
      <c r="K15" s="5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6"/>
      <c r="AF15" s="233"/>
      <c r="AG15" s="8"/>
      <c r="AH15" s="8"/>
      <c r="AI15" s="8"/>
      <c r="AJ15" s="233"/>
      <c r="AK15" s="8"/>
      <c r="AL15" s="8"/>
      <c r="AM15" s="8"/>
      <c r="AN15" s="233"/>
      <c r="AO15" s="8"/>
      <c r="AP15" s="8"/>
      <c r="AQ15" s="8"/>
      <c r="AR15" s="8"/>
      <c r="AS15" s="8"/>
      <c r="AT15" s="237"/>
      <c r="AU15" s="8"/>
      <c r="AV15" s="8"/>
      <c r="AW15" s="233"/>
      <c r="AX15" s="8"/>
      <c r="AY15" s="8"/>
      <c r="AZ15" s="8"/>
      <c r="BA15" s="8"/>
      <c r="BB15" s="8"/>
      <c r="BC15" s="77"/>
      <c r="BD15" s="74"/>
    </row>
    <row r="16" spans="1:58" ht="16.5" customHeight="1">
      <c r="A16" s="28" t="s">
        <v>20</v>
      </c>
      <c r="B16" s="68"/>
      <c r="C16" s="10"/>
      <c r="D16" s="10"/>
      <c r="E16" s="10"/>
      <c r="F16" s="11"/>
      <c r="G16" s="9"/>
      <c r="H16" s="10"/>
      <c r="I16" s="10"/>
      <c r="J16" s="11"/>
      <c r="K16" s="9"/>
      <c r="L16" s="10"/>
      <c r="M16" s="10"/>
      <c r="N16" s="11"/>
      <c r="O16" s="9"/>
      <c r="P16" s="10"/>
      <c r="Q16" s="10"/>
      <c r="R16" s="11"/>
      <c r="S16" s="9"/>
      <c r="T16" s="10"/>
      <c r="U16" s="10"/>
      <c r="V16" s="10"/>
      <c r="W16" s="11"/>
      <c r="X16" s="9"/>
      <c r="Y16" s="10"/>
      <c r="Z16" s="10"/>
      <c r="AA16" s="11"/>
      <c r="AB16" s="9"/>
      <c r="AC16" s="10"/>
      <c r="AD16" s="10"/>
      <c r="AE16" s="10"/>
      <c r="AF16" s="234"/>
      <c r="AG16" s="16"/>
      <c r="AH16" s="16"/>
      <c r="AI16" s="16"/>
      <c r="AJ16" s="234"/>
      <c r="AK16" s="16"/>
      <c r="AL16" s="16"/>
      <c r="AM16" s="16"/>
      <c r="AN16" s="234"/>
      <c r="AO16" s="16"/>
      <c r="AP16" s="16"/>
      <c r="AQ16" s="16"/>
      <c r="AR16" s="16"/>
      <c r="AS16" s="16"/>
      <c r="AT16" s="238"/>
      <c r="AU16" s="16"/>
      <c r="AV16" s="16"/>
      <c r="AW16" s="234"/>
      <c r="AX16" s="16"/>
      <c r="AY16" s="16"/>
      <c r="AZ16" s="16"/>
      <c r="BA16" s="16"/>
      <c r="BB16" s="16"/>
      <c r="BC16" s="79"/>
      <c r="BD16" s="80"/>
    </row>
    <row r="17" spans="1:58">
      <c r="A17" s="269" t="s">
        <v>0</v>
      </c>
      <c r="B17" s="366"/>
      <c r="C17" s="367"/>
      <c r="D17" s="367"/>
      <c r="E17" s="367"/>
      <c r="F17" s="368"/>
      <c r="G17" s="359">
        <v>37</v>
      </c>
      <c r="H17" s="360"/>
      <c r="I17" s="360"/>
      <c r="J17" s="362"/>
      <c r="K17" s="359">
        <v>27</v>
      </c>
      <c r="L17" s="360"/>
      <c r="M17" s="360"/>
      <c r="N17" s="362"/>
      <c r="O17" s="359"/>
      <c r="P17" s="360"/>
      <c r="Q17" s="360"/>
      <c r="R17" s="362"/>
      <c r="S17" s="359"/>
      <c r="T17" s="360"/>
      <c r="U17" s="360"/>
      <c r="V17" s="360"/>
      <c r="W17" s="362"/>
      <c r="X17" s="359">
        <v>4</v>
      </c>
      <c r="Y17" s="360"/>
      <c r="Z17" s="360"/>
      <c r="AA17" s="362"/>
      <c r="AB17" s="359"/>
      <c r="AC17" s="360"/>
      <c r="AD17" s="360"/>
      <c r="AE17" s="360"/>
      <c r="AF17" s="362"/>
      <c r="AG17" s="359"/>
      <c r="AH17" s="360"/>
      <c r="AI17" s="360"/>
      <c r="AJ17" s="362"/>
      <c r="AK17" s="359"/>
      <c r="AL17" s="360"/>
      <c r="AM17" s="360"/>
      <c r="AN17" s="362"/>
      <c r="AO17" s="359"/>
      <c r="AP17" s="360"/>
      <c r="AQ17" s="360"/>
      <c r="AR17" s="360"/>
      <c r="AS17" s="362"/>
      <c r="AT17" s="359"/>
      <c r="AU17" s="360"/>
      <c r="AV17" s="360"/>
      <c r="AW17" s="362"/>
      <c r="AX17" s="359"/>
      <c r="AY17" s="360"/>
      <c r="AZ17" s="360"/>
      <c r="BA17" s="360"/>
      <c r="BB17" s="361"/>
      <c r="BC17" s="280">
        <v>68</v>
      </c>
      <c r="BD17" s="264"/>
    </row>
    <row r="18" spans="1:58">
      <c r="A18" s="49" t="s">
        <v>72</v>
      </c>
      <c r="B18" s="311"/>
      <c r="C18" s="311"/>
      <c r="D18" s="311"/>
      <c r="E18" s="311"/>
      <c r="F18" s="312"/>
      <c r="G18" s="310">
        <f>(623105+316822+513928+6188)</f>
        <v>1460043</v>
      </c>
      <c r="H18" s="311"/>
      <c r="I18" s="311"/>
      <c r="J18" s="312"/>
      <c r="K18" s="310">
        <f>(296744+799223+286793+4953)</f>
        <v>1387713</v>
      </c>
      <c r="L18" s="311"/>
      <c r="M18" s="311"/>
      <c r="N18" s="312"/>
      <c r="O18" s="310"/>
      <c r="P18" s="311"/>
      <c r="Q18" s="311"/>
      <c r="R18" s="312"/>
      <c r="S18" s="310"/>
      <c r="T18" s="311"/>
      <c r="U18" s="311"/>
      <c r="V18" s="311"/>
      <c r="W18" s="312"/>
      <c r="X18" s="310">
        <f>(162281+734)</f>
        <v>163015</v>
      </c>
      <c r="Y18" s="311"/>
      <c r="Z18" s="311"/>
      <c r="AA18" s="312"/>
      <c r="AB18" s="310"/>
      <c r="AC18" s="311"/>
      <c r="AD18" s="311"/>
      <c r="AE18" s="311"/>
      <c r="AF18" s="312"/>
      <c r="AG18" s="231"/>
      <c r="AH18" s="231"/>
      <c r="AI18" s="231"/>
      <c r="AJ18" s="235"/>
      <c r="AK18" s="231"/>
      <c r="AL18" s="231"/>
      <c r="AM18" s="231"/>
      <c r="AN18" s="235"/>
      <c r="AO18" s="231"/>
      <c r="AP18" s="231"/>
      <c r="AQ18" s="231"/>
      <c r="AR18" s="231"/>
      <c r="AS18" s="231"/>
      <c r="AT18" s="239"/>
      <c r="AU18" s="231"/>
      <c r="AV18" s="231"/>
      <c r="AW18" s="235"/>
      <c r="AX18" s="231"/>
      <c r="AY18" s="231"/>
      <c r="AZ18" s="231"/>
      <c r="BA18" s="231"/>
      <c r="BB18" s="231"/>
      <c r="BC18" s="81">
        <f>BC17</f>
        <v>68</v>
      </c>
      <c r="BD18" s="76">
        <f>SUM(B18:AF18)</f>
        <v>3010771</v>
      </c>
      <c r="BE18" s="57"/>
      <c r="BF18" s="13"/>
    </row>
    <row r="19" spans="1:58" ht="16.5" customHeight="1">
      <c r="A19" s="50" t="s">
        <v>26</v>
      </c>
      <c r="B19" s="15"/>
      <c r="C19" s="6"/>
      <c r="D19" s="6"/>
      <c r="E19" s="6"/>
      <c r="F19" s="7"/>
      <c r="G19" s="5"/>
      <c r="H19" s="6"/>
      <c r="I19" s="6"/>
      <c r="J19" s="7"/>
      <c r="K19" s="5"/>
      <c r="L19" s="6"/>
      <c r="M19" s="6"/>
      <c r="N19" s="7"/>
      <c r="O19" s="5"/>
      <c r="P19" s="6"/>
      <c r="Q19" s="6"/>
      <c r="R19" s="7"/>
      <c r="S19" s="5"/>
      <c r="T19" s="6"/>
      <c r="U19" s="6"/>
      <c r="V19" s="6"/>
      <c r="W19" s="7"/>
      <c r="X19" s="5"/>
      <c r="Y19" s="6"/>
      <c r="Z19" s="6"/>
      <c r="AA19" s="7"/>
      <c r="AB19" s="5"/>
      <c r="AC19" s="6"/>
      <c r="AD19" s="6"/>
      <c r="AE19" s="6"/>
      <c r="AF19" s="233"/>
      <c r="AG19" s="8"/>
      <c r="AH19" s="8"/>
      <c r="AI19" s="8"/>
      <c r="AJ19" s="233"/>
      <c r="AK19" s="8"/>
      <c r="AL19" s="8"/>
      <c r="AM19" s="8"/>
      <c r="AN19" s="233"/>
      <c r="AO19" s="8"/>
      <c r="AP19" s="8"/>
      <c r="AQ19" s="8"/>
      <c r="AR19" s="8"/>
      <c r="AS19" s="8"/>
      <c r="AT19" s="237"/>
      <c r="AU19" s="8"/>
      <c r="AV19" s="8"/>
      <c r="AW19" s="233"/>
      <c r="AX19" s="8"/>
      <c r="AY19" s="8"/>
      <c r="AZ19" s="8"/>
      <c r="BA19" s="8"/>
      <c r="BB19" s="8"/>
      <c r="BC19" s="73"/>
      <c r="BD19" s="74"/>
    </row>
    <row r="20" spans="1:58" ht="16.5" customHeight="1">
      <c r="A20" s="28" t="s">
        <v>16</v>
      </c>
      <c r="B20" s="68"/>
      <c r="C20" s="10"/>
      <c r="D20" s="10"/>
      <c r="E20" s="10"/>
      <c r="F20" s="11"/>
      <c r="G20" s="9"/>
      <c r="H20" s="10"/>
      <c r="I20" s="10"/>
      <c r="J20" s="11"/>
      <c r="K20" s="9"/>
      <c r="L20" s="10"/>
      <c r="M20" s="10"/>
      <c r="N20" s="11"/>
      <c r="O20" s="9"/>
      <c r="P20" s="10"/>
      <c r="Q20" s="10"/>
      <c r="R20" s="11"/>
      <c r="S20" s="9"/>
      <c r="T20" s="10"/>
      <c r="U20" s="10"/>
      <c r="V20" s="10"/>
      <c r="W20" s="11"/>
      <c r="X20" s="9"/>
      <c r="Y20" s="10"/>
      <c r="Z20" s="10"/>
      <c r="AA20" s="11"/>
      <c r="AB20" s="9"/>
      <c r="AC20" s="10"/>
      <c r="AD20" s="10"/>
      <c r="AE20" s="10"/>
      <c r="AF20" s="234"/>
      <c r="AG20" s="16"/>
      <c r="AH20" s="16"/>
      <c r="AI20" s="16"/>
      <c r="AJ20" s="234"/>
      <c r="AK20" s="16"/>
      <c r="AL20" s="16"/>
      <c r="AM20" s="16"/>
      <c r="AN20" s="234"/>
      <c r="AO20" s="16"/>
      <c r="AP20" s="16"/>
      <c r="AQ20" s="16"/>
      <c r="AR20" s="16"/>
      <c r="AS20" s="16"/>
      <c r="AT20" s="238"/>
      <c r="AU20" s="16"/>
      <c r="AV20" s="16"/>
      <c r="AW20" s="234"/>
      <c r="AX20" s="16"/>
      <c r="AY20" s="16"/>
      <c r="AZ20" s="16"/>
      <c r="BA20" s="16"/>
      <c r="BB20" s="16"/>
      <c r="BC20" s="79"/>
      <c r="BD20" s="80"/>
    </row>
    <row r="21" spans="1:58">
      <c r="A21" s="269" t="s">
        <v>0</v>
      </c>
      <c r="B21" s="366"/>
      <c r="C21" s="367"/>
      <c r="D21" s="367"/>
      <c r="E21" s="367"/>
      <c r="F21" s="368"/>
      <c r="G21" s="359">
        <v>4</v>
      </c>
      <c r="H21" s="360"/>
      <c r="I21" s="360"/>
      <c r="J21" s="362"/>
      <c r="K21" s="359">
        <v>4</v>
      </c>
      <c r="L21" s="360"/>
      <c r="M21" s="360"/>
      <c r="N21" s="362"/>
      <c r="O21" s="359">
        <v>4</v>
      </c>
      <c r="P21" s="360"/>
      <c r="Q21" s="360"/>
      <c r="R21" s="362"/>
      <c r="S21" s="359">
        <v>4</v>
      </c>
      <c r="T21" s="360"/>
      <c r="U21" s="360"/>
      <c r="V21" s="360"/>
      <c r="W21" s="362"/>
      <c r="X21" s="359">
        <v>4</v>
      </c>
      <c r="Y21" s="360"/>
      <c r="Z21" s="360"/>
      <c r="AA21" s="362"/>
      <c r="AB21" s="359">
        <v>4</v>
      </c>
      <c r="AC21" s="360"/>
      <c r="AD21" s="360"/>
      <c r="AE21" s="360"/>
      <c r="AF21" s="362"/>
      <c r="AG21" s="359"/>
      <c r="AH21" s="360"/>
      <c r="AI21" s="360"/>
      <c r="AJ21" s="362"/>
      <c r="AK21" s="359"/>
      <c r="AL21" s="360"/>
      <c r="AM21" s="360"/>
      <c r="AN21" s="362"/>
      <c r="AO21" s="359"/>
      <c r="AP21" s="360"/>
      <c r="AQ21" s="360"/>
      <c r="AR21" s="360"/>
      <c r="AS21" s="362"/>
      <c r="AT21" s="359"/>
      <c r="AU21" s="360"/>
      <c r="AV21" s="360"/>
      <c r="AW21" s="362"/>
      <c r="AX21" s="359"/>
      <c r="AY21" s="360"/>
      <c r="AZ21" s="360"/>
      <c r="BA21" s="360"/>
      <c r="BB21" s="361"/>
      <c r="BC21" s="280">
        <v>24</v>
      </c>
      <c r="BD21" s="264"/>
    </row>
    <row r="22" spans="1:58" ht="16.5" customHeight="1" thickBot="1">
      <c r="A22" s="49" t="s">
        <v>72</v>
      </c>
      <c r="B22" s="321"/>
      <c r="C22" s="321"/>
      <c r="D22" s="321"/>
      <c r="E22" s="321"/>
      <c r="F22" s="322"/>
      <c r="G22" s="320">
        <f>242720</f>
        <v>242720</v>
      </c>
      <c r="H22" s="321"/>
      <c r="I22" s="321"/>
      <c r="J22" s="322"/>
      <c r="K22" s="320">
        <f>242720</f>
        <v>242720</v>
      </c>
      <c r="L22" s="321"/>
      <c r="M22" s="321"/>
      <c r="N22" s="322"/>
      <c r="O22" s="320">
        <f>242720</f>
        <v>242720</v>
      </c>
      <c r="P22" s="321"/>
      <c r="Q22" s="321"/>
      <c r="R22" s="322"/>
      <c r="S22" s="320">
        <f>242.72*1000</f>
        <v>242720</v>
      </c>
      <c r="T22" s="321"/>
      <c r="U22" s="321"/>
      <c r="V22" s="321"/>
      <c r="W22" s="322"/>
      <c r="X22" s="320">
        <f>242720</f>
        <v>242720</v>
      </c>
      <c r="Y22" s="321"/>
      <c r="Z22" s="321"/>
      <c r="AA22" s="322"/>
      <c r="AB22" s="320">
        <f>245680</f>
        <v>245680</v>
      </c>
      <c r="AC22" s="321"/>
      <c r="AD22" s="321"/>
      <c r="AE22" s="321"/>
      <c r="AF22" s="322"/>
      <c r="AG22" s="89"/>
      <c r="AH22" s="89"/>
      <c r="AI22" s="89"/>
      <c r="AJ22" s="90"/>
      <c r="AK22" s="89"/>
      <c r="AL22" s="89"/>
      <c r="AM22" s="89"/>
      <c r="AN22" s="90"/>
      <c r="AO22" s="89"/>
      <c r="AP22" s="89"/>
      <c r="AQ22" s="89"/>
      <c r="AR22" s="89"/>
      <c r="AS22" s="89"/>
      <c r="AT22" s="88"/>
      <c r="AU22" s="89"/>
      <c r="AV22" s="89"/>
      <c r="AW22" s="90"/>
      <c r="AX22" s="89"/>
      <c r="AY22" s="89"/>
      <c r="AZ22" s="89"/>
      <c r="BA22" s="89"/>
      <c r="BB22" s="89"/>
      <c r="BC22" s="82">
        <f>BC21</f>
        <v>24</v>
      </c>
      <c r="BD22" s="76">
        <f>SUM(B22:AF22)</f>
        <v>1459280</v>
      </c>
      <c r="BE22" s="57"/>
      <c r="BF22" s="13"/>
    </row>
    <row r="23" spans="1:58" s="55" customFormat="1" ht="13.5" thickBot="1">
      <c r="A23" s="54" t="s">
        <v>79</v>
      </c>
      <c r="B23" s="334">
        <f>B22+B18+B14+B10+B6</f>
        <v>0</v>
      </c>
      <c r="C23" s="334"/>
      <c r="D23" s="334"/>
      <c r="E23" s="334"/>
      <c r="F23" s="335"/>
      <c r="G23" s="333">
        <f>G22+G18+G14+G10+G6</f>
        <v>7233902</v>
      </c>
      <c r="H23" s="334"/>
      <c r="I23" s="334"/>
      <c r="J23" s="335"/>
      <c r="K23" s="333">
        <f>K22+K18+K14+K10+K6</f>
        <v>6966006</v>
      </c>
      <c r="L23" s="334"/>
      <c r="M23" s="334"/>
      <c r="N23" s="335"/>
      <c r="O23" s="333">
        <f>O22+O18+O14+O10+O6</f>
        <v>8410154</v>
      </c>
      <c r="P23" s="334"/>
      <c r="Q23" s="334"/>
      <c r="R23" s="335"/>
      <c r="S23" s="333">
        <f>S22+S18+S14+S10+S6</f>
        <v>8653578</v>
      </c>
      <c r="T23" s="334"/>
      <c r="U23" s="334"/>
      <c r="V23" s="334"/>
      <c r="W23" s="335"/>
      <c r="X23" s="333">
        <f>X22+X18+X14+X10+X6</f>
        <v>1522125</v>
      </c>
      <c r="Y23" s="334"/>
      <c r="Z23" s="334"/>
      <c r="AA23" s="335"/>
      <c r="AB23" s="333">
        <f>AB22+AB18+AB14+AB10+AB6</f>
        <v>245680</v>
      </c>
      <c r="AC23" s="334"/>
      <c r="AD23" s="334"/>
      <c r="AE23" s="334"/>
      <c r="AF23" s="335"/>
      <c r="AG23" s="91"/>
      <c r="AH23" s="91"/>
      <c r="AI23" s="91"/>
      <c r="AJ23" s="92"/>
      <c r="AK23" s="91"/>
      <c r="AL23" s="91"/>
      <c r="AM23" s="91"/>
      <c r="AN23" s="92"/>
      <c r="AO23" s="91"/>
      <c r="AP23" s="91"/>
      <c r="AQ23" s="91"/>
      <c r="AR23" s="91"/>
      <c r="AS23" s="91"/>
      <c r="AT23" s="96"/>
      <c r="AU23" s="91"/>
      <c r="AV23" s="91"/>
      <c r="AW23" s="92"/>
      <c r="AX23" s="91"/>
      <c r="AY23" s="91"/>
      <c r="AZ23" s="91"/>
      <c r="BA23" s="91"/>
      <c r="BB23" s="91"/>
      <c r="BC23" s="83">
        <f>BC6+BC10+BC14+BC18+BC22</f>
        <v>1201</v>
      </c>
      <c r="BD23" s="67">
        <f>BD22+BD18+BD14+BD10+BD6</f>
        <v>33031445</v>
      </c>
      <c r="BE23" s="57"/>
      <c r="BF23" s="13"/>
    </row>
    <row r="24" spans="1:58">
      <c r="A24" s="229" t="s">
        <v>62</v>
      </c>
      <c r="B24" s="206"/>
      <c r="C24" s="199"/>
      <c r="D24" s="199"/>
      <c r="E24" s="226"/>
      <c r="F24" s="211"/>
      <c r="G24" s="206"/>
      <c r="H24" s="199"/>
      <c r="I24" s="226"/>
      <c r="J24" s="211"/>
      <c r="K24" s="206"/>
      <c r="L24" s="199"/>
      <c r="M24" s="199"/>
      <c r="N24" s="200"/>
      <c r="O24" s="201"/>
      <c r="P24" s="199"/>
      <c r="Q24" s="199"/>
      <c r="R24" s="200"/>
      <c r="S24" s="201"/>
      <c r="T24" s="199"/>
      <c r="U24" s="199"/>
      <c r="V24" s="199"/>
      <c r="W24" s="200"/>
      <c r="X24" s="201"/>
      <c r="Y24" s="199"/>
      <c r="Z24" s="199"/>
      <c r="AA24" s="200"/>
      <c r="AB24" s="201"/>
      <c r="AC24" s="199"/>
      <c r="AD24" s="199"/>
      <c r="AE24" s="242"/>
      <c r="AF24" s="211"/>
      <c r="AG24" s="206"/>
      <c r="AH24" s="199"/>
      <c r="AI24" s="199"/>
      <c r="AJ24" s="200"/>
      <c r="AK24" s="201"/>
      <c r="AL24" s="199"/>
      <c r="AM24" s="199"/>
      <c r="AN24" s="200"/>
      <c r="AO24" s="201"/>
      <c r="AP24" s="199"/>
      <c r="AQ24" s="199"/>
      <c r="AR24" s="213"/>
      <c r="AS24" s="214"/>
      <c r="AT24" s="288"/>
      <c r="AU24" s="165"/>
      <c r="AV24" s="165"/>
      <c r="AW24" s="166"/>
      <c r="AX24" s="207"/>
      <c r="AY24" s="208"/>
      <c r="AZ24" s="208"/>
      <c r="BA24" s="209"/>
      <c r="BB24" s="204"/>
      <c r="BC24" s="253"/>
      <c r="BD24" s="262"/>
    </row>
    <row r="25" spans="1:58">
      <c r="A25" s="180" t="s">
        <v>52</v>
      </c>
      <c r="B25" s="164"/>
      <c r="C25" s="165"/>
      <c r="D25" s="165"/>
      <c r="E25" s="227"/>
      <c r="F25" s="216"/>
      <c r="G25" s="164"/>
      <c r="H25" s="165"/>
      <c r="I25" s="227"/>
      <c r="J25" s="216"/>
      <c r="K25" s="164"/>
      <c r="L25" s="165"/>
      <c r="M25" s="165"/>
      <c r="N25" s="166"/>
      <c r="O25" s="167"/>
      <c r="P25" s="165"/>
      <c r="Q25" s="165"/>
      <c r="R25" s="166"/>
      <c r="S25" s="167"/>
      <c r="T25" s="165"/>
      <c r="U25" s="165"/>
      <c r="V25" s="165"/>
      <c r="W25" s="166"/>
      <c r="X25" s="167"/>
      <c r="Y25" s="165"/>
      <c r="Z25" s="165"/>
      <c r="AA25" s="166"/>
      <c r="AB25" s="167"/>
      <c r="AC25" s="165"/>
      <c r="AD25" s="165"/>
      <c r="AE25" s="166"/>
      <c r="AF25" s="203"/>
      <c r="AG25" s="206"/>
      <c r="AH25" s="199"/>
      <c r="AI25" s="199"/>
      <c r="AJ25" s="200"/>
      <c r="AK25" s="167"/>
      <c r="AL25" s="165"/>
      <c r="AM25" s="165"/>
      <c r="AN25" s="166"/>
      <c r="AO25" s="167"/>
      <c r="AP25" s="165"/>
      <c r="AQ25" s="165"/>
      <c r="AR25" s="175"/>
      <c r="AS25" s="228"/>
      <c r="AT25" s="205"/>
      <c r="AU25" s="199"/>
      <c r="AV25" s="199"/>
      <c r="AW25" s="200"/>
      <c r="AX25" s="207"/>
      <c r="AY25" s="208"/>
      <c r="AZ25" s="208"/>
      <c r="BA25" s="209"/>
      <c r="BB25" s="176"/>
      <c r="BC25" s="283"/>
      <c r="BD25" s="259"/>
    </row>
    <row r="26" spans="1:58">
      <c r="A26" s="181" t="s">
        <v>57</v>
      </c>
      <c r="B26" s="345"/>
      <c r="C26" s="289"/>
      <c r="D26" s="289"/>
      <c r="E26" s="289"/>
      <c r="F26" s="298"/>
      <c r="G26" s="297">
        <v>10648988</v>
      </c>
      <c r="H26" s="289">
        <v>10648988</v>
      </c>
      <c r="I26" s="289">
        <v>10648988</v>
      </c>
      <c r="J26" s="298">
        <v>10648988</v>
      </c>
      <c r="K26" s="297">
        <v>327708877</v>
      </c>
      <c r="L26" s="289">
        <v>327708877</v>
      </c>
      <c r="M26" s="289">
        <v>327708877</v>
      </c>
      <c r="N26" s="298">
        <v>327708877</v>
      </c>
      <c r="O26" s="297">
        <v>50103675</v>
      </c>
      <c r="P26" s="289">
        <v>50103675</v>
      </c>
      <c r="Q26" s="289">
        <v>50103675</v>
      </c>
      <c r="R26" s="298">
        <v>50103675</v>
      </c>
      <c r="S26" s="297">
        <v>79486232</v>
      </c>
      <c r="T26" s="289">
        <v>79486232</v>
      </c>
      <c r="U26" s="289">
        <v>79486232</v>
      </c>
      <c r="V26" s="289">
        <v>79486232</v>
      </c>
      <c r="W26" s="298">
        <v>79486232</v>
      </c>
      <c r="X26" s="297">
        <v>4762326</v>
      </c>
      <c r="Y26" s="289">
        <v>4762326</v>
      </c>
      <c r="Z26" s="289">
        <v>4762326</v>
      </c>
      <c r="AA26" s="298">
        <v>4762326</v>
      </c>
      <c r="AB26" s="297">
        <v>3657061</v>
      </c>
      <c r="AC26" s="289">
        <v>3657061</v>
      </c>
      <c r="AD26" s="289">
        <v>3657061</v>
      </c>
      <c r="AE26" s="289">
        <v>3657061</v>
      </c>
      <c r="AF26" s="298">
        <v>3657061</v>
      </c>
      <c r="AG26" s="297">
        <v>63846135</v>
      </c>
      <c r="AH26" s="289">
        <v>63846135</v>
      </c>
      <c r="AI26" s="289">
        <v>63846135</v>
      </c>
      <c r="AJ26" s="298">
        <v>63846135</v>
      </c>
      <c r="AK26" s="297">
        <v>63851814</v>
      </c>
      <c r="AL26" s="289">
        <v>63851814</v>
      </c>
      <c r="AM26" s="289">
        <v>63851814</v>
      </c>
      <c r="AN26" s="298">
        <v>63851814</v>
      </c>
      <c r="AO26" s="297" t="s">
        <v>67</v>
      </c>
      <c r="AP26" s="289"/>
      <c r="AQ26" s="289"/>
      <c r="AR26" s="289"/>
      <c r="AS26" s="298"/>
      <c r="AT26" s="297" t="s">
        <v>68</v>
      </c>
      <c r="AU26" s="289"/>
      <c r="AV26" s="289"/>
      <c r="AW26" s="289"/>
      <c r="AX26" s="297" t="s">
        <v>69</v>
      </c>
      <c r="AY26" s="289"/>
      <c r="AZ26" s="289"/>
      <c r="BA26" s="289"/>
      <c r="BB26" s="290"/>
      <c r="BC26" s="254"/>
      <c r="BD26" s="260"/>
    </row>
    <row r="27" spans="1:58" ht="13.5" thickBot="1">
      <c r="A27" s="181" t="s">
        <v>76</v>
      </c>
      <c r="B27" s="346"/>
      <c r="C27" s="292"/>
      <c r="D27" s="292"/>
      <c r="E27" s="292"/>
      <c r="F27" s="293"/>
      <c r="G27" s="291">
        <v>54170.729999999974</v>
      </c>
      <c r="H27" s="292">
        <v>54170.729999999974</v>
      </c>
      <c r="I27" s="292">
        <v>54170.729999999974</v>
      </c>
      <c r="J27" s="293">
        <v>54170.729999999974</v>
      </c>
      <c r="K27" s="291">
        <v>1679030.6300000001</v>
      </c>
      <c r="L27" s="292">
        <v>1679030.6300000001</v>
      </c>
      <c r="M27" s="292">
        <v>1679030.6300000001</v>
      </c>
      <c r="N27" s="293">
        <v>1679030.6300000001</v>
      </c>
      <c r="O27" s="291">
        <v>425387</v>
      </c>
      <c r="P27" s="292">
        <v>425387</v>
      </c>
      <c r="Q27" s="292">
        <v>425387</v>
      </c>
      <c r="R27" s="293">
        <v>425387</v>
      </c>
      <c r="S27" s="291">
        <v>627114.44999999995</v>
      </c>
      <c r="T27" s="292">
        <v>627114.44999999995</v>
      </c>
      <c r="U27" s="292">
        <v>627114.44999999995</v>
      </c>
      <c r="V27" s="292">
        <v>627114.44999999995</v>
      </c>
      <c r="W27" s="293">
        <v>627114.44999999995</v>
      </c>
      <c r="X27" s="291">
        <v>69293.039999999994</v>
      </c>
      <c r="Y27" s="292">
        <v>69293.039999999994</v>
      </c>
      <c r="Z27" s="292">
        <v>69293.039999999994</v>
      </c>
      <c r="AA27" s="293">
        <v>69293.039999999994</v>
      </c>
      <c r="AB27" s="291">
        <v>44317</v>
      </c>
      <c r="AC27" s="292">
        <v>44317</v>
      </c>
      <c r="AD27" s="292">
        <v>44317</v>
      </c>
      <c r="AE27" s="292">
        <v>44317</v>
      </c>
      <c r="AF27" s="293">
        <v>44317</v>
      </c>
      <c r="AG27" s="291">
        <v>469472</v>
      </c>
      <c r="AH27" s="292">
        <v>469472</v>
      </c>
      <c r="AI27" s="292">
        <v>469472</v>
      </c>
      <c r="AJ27" s="293">
        <v>469472</v>
      </c>
      <c r="AK27" s="291">
        <v>461496</v>
      </c>
      <c r="AL27" s="292">
        <v>461496</v>
      </c>
      <c r="AM27" s="292">
        <v>461496</v>
      </c>
      <c r="AN27" s="293">
        <v>461496</v>
      </c>
      <c r="AO27" s="291"/>
      <c r="AP27" s="292"/>
      <c r="AQ27" s="292"/>
      <c r="AR27" s="292"/>
      <c r="AS27" s="293"/>
      <c r="AT27" s="291"/>
      <c r="AU27" s="292"/>
      <c r="AV27" s="292"/>
      <c r="AW27" s="293"/>
      <c r="AX27" s="291"/>
      <c r="AY27" s="292"/>
      <c r="AZ27" s="352"/>
      <c r="BA27" s="352"/>
      <c r="BB27" s="266"/>
      <c r="BC27" s="267"/>
      <c r="BD27" s="259">
        <f>SUM(G27:AX27)</f>
        <v>15992554.849999994</v>
      </c>
    </row>
    <row r="28" spans="1:58">
      <c r="A28" s="224" t="s">
        <v>29</v>
      </c>
      <c r="B28" s="164"/>
      <c r="C28" s="165"/>
      <c r="D28" s="165"/>
      <c r="E28" s="227"/>
      <c r="F28" s="228"/>
      <c r="G28" s="164"/>
      <c r="H28" s="165"/>
      <c r="I28" s="212"/>
      <c r="J28" s="216"/>
      <c r="K28" s="164"/>
      <c r="L28" s="165"/>
      <c r="M28" s="165"/>
      <c r="N28" s="166"/>
      <c r="O28" s="167"/>
      <c r="P28" s="165"/>
      <c r="Q28" s="165"/>
      <c r="R28" s="166"/>
      <c r="S28" s="167"/>
      <c r="T28" s="165"/>
      <c r="U28" s="165"/>
      <c r="V28" s="165"/>
      <c r="W28" s="166"/>
      <c r="X28" s="158"/>
      <c r="Y28" s="156"/>
      <c r="Z28" s="156"/>
      <c r="AA28" s="157"/>
      <c r="AB28" s="167"/>
      <c r="AC28" s="165"/>
      <c r="AD28" s="165"/>
      <c r="AE28" s="175"/>
      <c r="AF28" s="216"/>
      <c r="AG28" s="164"/>
      <c r="AH28" s="165"/>
      <c r="AI28" s="165"/>
      <c r="AJ28" s="166"/>
      <c r="AK28" s="167"/>
      <c r="AL28" s="165"/>
      <c r="AM28" s="165"/>
      <c r="AN28" s="166"/>
      <c r="AO28" s="167"/>
      <c r="AP28" s="165"/>
      <c r="AQ28" s="165"/>
      <c r="AR28" s="175"/>
      <c r="AS28" s="228"/>
      <c r="AT28" s="164"/>
      <c r="AU28" s="165"/>
      <c r="AV28" s="165"/>
      <c r="AW28" s="166"/>
      <c r="AX28" s="243"/>
      <c r="AY28" s="248"/>
      <c r="AZ28" s="249"/>
      <c r="BA28" s="249"/>
      <c r="BB28" s="268"/>
      <c r="BC28" s="281"/>
      <c r="BD28" s="261"/>
    </row>
    <row r="29" spans="1:58">
      <c r="A29" s="225" t="s">
        <v>65</v>
      </c>
      <c r="B29" s="164"/>
      <c r="C29" s="165"/>
      <c r="D29" s="165"/>
      <c r="E29" s="212"/>
      <c r="F29" s="216"/>
      <c r="G29" s="164"/>
      <c r="H29" s="165"/>
      <c r="I29" s="212"/>
      <c r="J29" s="216"/>
      <c r="K29" s="164"/>
      <c r="L29" s="165"/>
      <c r="M29" s="165"/>
      <c r="N29" s="166"/>
      <c r="O29" s="167"/>
      <c r="P29" s="165"/>
      <c r="Q29" s="165"/>
      <c r="R29" s="166"/>
      <c r="S29" s="167"/>
      <c r="T29" s="165"/>
      <c r="U29" s="165"/>
      <c r="V29" s="165"/>
      <c r="W29" s="166"/>
      <c r="X29" s="167"/>
      <c r="Y29" s="165"/>
      <c r="Z29" s="165"/>
      <c r="AA29" s="166"/>
      <c r="AB29" s="184"/>
      <c r="AC29" s="218"/>
      <c r="AD29" s="218"/>
      <c r="AE29" s="219"/>
      <c r="AF29" s="241"/>
      <c r="AG29" s="219"/>
      <c r="AH29" s="246"/>
      <c r="AI29" s="246"/>
      <c r="AJ29" s="246"/>
      <c r="AK29" s="246"/>
      <c r="AL29" s="246"/>
      <c r="AM29" s="246"/>
      <c r="AN29" s="246"/>
      <c r="AO29" s="246"/>
      <c r="AP29" s="246"/>
      <c r="AQ29" s="247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82"/>
      <c r="BC29" s="283"/>
      <c r="BD29" s="260"/>
    </row>
    <row r="30" spans="1:58" ht="3" customHeight="1">
      <c r="A30" s="225"/>
      <c r="B30" s="164"/>
      <c r="C30" s="165"/>
      <c r="D30" s="165"/>
      <c r="E30" s="212"/>
      <c r="F30" s="216"/>
      <c r="G30" s="164"/>
      <c r="H30" s="165"/>
      <c r="I30" s="212"/>
      <c r="J30" s="216"/>
      <c r="K30" s="164"/>
      <c r="L30" s="165"/>
      <c r="M30" s="165"/>
      <c r="N30" s="166"/>
      <c r="O30" s="167"/>
      <c r="P30" s="165"/>
      <c r="Q30" s="165"/>
      <c r="R30" s="166"/>
      <c r="S30" s="167"/>
      <c r="T30" s="165"/>
      <c r="U30" s="165"/>
      <c r="V30" s="165"/>
      <c r="W30" s="166"/>
      <c r="X30" s="167"/>
      <c r="Y30" s="165"/>
      <c r="Z30" s="165"/>
      <c r="AA30" s="166"/>
      <c r="AB30" s="184"/>
      <c r="AC30" s="218"/>
      <c r="AD30" s="218"/>
      <c r="AE30" s="219"/>
      <c r="AF30" s="241"/>
      <c r="AG30" s="219"/>
      <c r="AH30" s="218"/>
      <c r="AI30" s="218"/>
      <c r="AJ30" s="219"/>
      <c r="AK30" s="220"/>
      <c r="AL30" s="218"/>
      <c r="AM30" s="219"/>
      <c r="AN30" s="222"/>
      <c r="AO30" s="219"/>
      <c r="AP30" s="221"/>
      <c r="AQ30" s="218"/>
      <c r="AR30" s="175"/>
      <c r="AS30" s="175"/>
      <c r="AT30" s="164"/>
      <c r="AU30" s="165"/>
      <c r="AV30" s="165"/>
      <c r="AW30" s="175"/>
      <c r="AX30" s="170"/>
      <c r="AY30" s="170"/>
      <c r="AZ30" s="170"/>
      <c r="BA30" s="170"/>
      <c r="BB30" s="245"/>
      <c r="BC30" s="256"/>
      <c r="BD30" s="263"/>
    </row>
    <row r="31" spans="1:58">
      <c r="A31" s="270" t="s">
        <v>70</v>
      </c>
      <c r="B31" s="271"/>
      <c r="C31" s="272"/>
      <c r="D31" s="272"/>
      <c r="E31" s="273"/>
      <c r="F31" s="217"/>
      <c r="G31" s="271"/>
      <c r="H31" s="272"/>
      <c r="I31" s="273"/>
      <c r="J31" s="217"/>
      <c r="K31" s="271"/>
      <c r="L31" s="272"/>
      <c r="M31" s="272"/>
      <c r="N31" s="274"/>
      <c r="O31" s="275"/>
      <c r="P31" s="272"/>
      <c r="Q31" s="272"/>
      <c r="R31" s="274"/>
      <c r="S31" s="275"/>
      <c r="T31" s="272"/>
      <c r="U31" s="272"/>
      <c r="V31" s="272"/>
      <c r="W31" s="274"/>
      <c r="X31" s="275"/>
      <c r="Y31" s="272"/>
      <c r="Z31" s="272"/>
      <c r="AA31" s="274"/>
      <c r="AB31" s="276"/>
      <c r="AC31" s="195"/>
      <c r="AD31" s="195"/>
      <c r="AE31" s="196"/>
      <c r="AF31" s="215"/>
      <c r="AG31" s="196"/>
      <c r="AH31" s="277"/>
      <c r="AI31" s="277"/>
      <c r="AJ31" s="277"/>
      <c r="AK31" s="277"/>
      <c r="AL31" s="277"/>
      <c r="AM31" s="277"/>
      <c r="AN31" s="277"/>
      <c r="AO31" s="277"/>
      <c r="AP31" s="277"/>
      <c r="AQ31" s="278"/>
      <c r="AR31" s="274"/>
      <c r="AS31" s="275"/>
      <c r="AT31" s="272"/>
      <c r="AU31" s="272"/>
      <c r="AV31" s="272"/>
      <c r="AW31" s="279"/>
      <c r="AX31" s="250"/>
      <c r="AY31" s="251"/>
      <c r="AZ31" s="252"/>
      <c r="BA31" s="252"/>
      <c r="BB31" s="244"/>
      <c r="BC31" s="283"/>
      <c r="BD31" s="260"/>
    </row>
    <row r="32" spans="1:58">
      <c r="A32" s="269" t="s">
        <v>48</v>
      </c>
      <c r="B32" s="366"/>
      <c r="C32" s="367"/>
      <c r="D32" s="367"/>
      <c r="E32" s="367"/>
      <c r="F32" s="368"/>
      <c r="G32" s="359"/>
      <c r="H32" s="360"/>
      <c r="I32" s="360"/>
      <c r="J32" s="362"/>
      <c r="K32" s="359">
        <f>155172.4+(500000/15*11)</f>
        <v>521839.06666666665</v>
      </c>
      <c r="L32" s="360"/>
      <c r="M32" s="360"/>
      <c r="N32" s="362"/>
      <c r="O32" s="359">
        <f>344827.6+(500000/15*4)</f>
        <v>478160.93333333335</v>
      </c>
      <c r="P32" s="360"/>
      <c r="Q32" s="360"/>
      <c r="R32" s="362"/>
      <c r="S32" s="359">
        <f>328291/29*22+(300000/29*22)</f>
        <v>476634.55172413797</v>
      </c>
      <c r="T32" s="360"/>
      <c r="U32" s="360"/>
      <c r="V32" s="360"/>
      <c r="W32" s="362"/>
      <c r="X32" s="359">
        <f>328291/29*7+(300000/29*7)</f>
        <v>151656.44827586209</v>
      </c>
      <c r="Y32" s="360"/>
      <c r="Z32" s="360"/>
      <c r="AA32" s="362"/>
      <c r="AB32" s="359"/>
      <c r="AC32" s="360"/>
      <c r="AD32" s="360"/>
      <c r="AE32" s="360"/>
      <c r="AF32" s="362"/>
      <c r="AG32" s="359">
        <f>147000/29*23+(299500/29*23)</f>
        <v>354120.68965517241</v>
      </c>
      <c r="AH32" s="360"/>
      <c r="AI32" s="360"/>
      <c r="AJ32" s="362"/>
      <c r="AK32" s="359">
        <f>147000/29*6+(424710/117*25)+(299500/29*6)</f>
        <v>183129.31034482759</v>
      </c>
      <c r="AL32" s="360"/>
      <c r="AM32" s="360"/>
      <c r="AN32" s="362"/>
      <c r="AO32" s="359">
        <f>424710/117*31</f>
        <v>112530</v>
      </c>
      <c r="AP32" s="360"/>
      <c r="AQ32" s="360"/>
      <c r="AR32" s="360"/>
      <c r="AS32" s="362"/>
      <c r="AT32" s="359">
        <f>424710/117*30</f>
        <v>108900</v>
      </c>
      <c r="AU32" s="360"/>
      <c r="AV32" s="360"/>
      <c r="AW32" s="362"/>
      <c r="AX32" s="359">
        <f>424710/117*31</f>
        <v>112530</v>
      </c>
      <c r="AY32" s="360"/>
      <c r="AZ32" s="360"/>
      <c r="BA32" s="360"/>
      <c r="BB32" s="361"/>
      <c r="BC32" s="280"/>
      <c r="BD32" s="264"/>
    </row>
    <row r="33" spans="1:56" ht="13.5" thickBot="1">
      <c r="A33" s="181" t="s">
        <v>76</v>
      </c>
      <c r="B33" s="346"/>
      <c r="C33" s="292"/>
      <c r="D33" s="292"/>
      <c r="E33" s="292"/>
      <c r="F33" s="293"/>
      <c r="G33" s="291"/>
      <c r="H33" s="292"/>
      <c r="I33" s="292"/>
      <c r="J33" s="293"/>
      <c r="K33" s="291">
        <f>K32*1</f>
        <v>521839.06666666665</v>
      </c>
      <c r="L33" s="292"/>
      <c r="M33" s="292"/>
      <c r="N33" s="293"/>
      <c r="O33" s="291">
        <f>O32*1</f>
        <v>478160.93333333335</v>
      </c>
      <c r="P33" s="292"/>
      <c r="Q33" s="292"/>
      <c r="R33" s="293"/>
      <c r="S33" s="291">
        <f>S32*1</f>
        <v>476634.55172413797</v>
      </c>
      <c r="T33" s="292"/>
      <c r="U33" s="292"/>
      <c r="V33" s="292"/>
      <c r="W33" s="293"/>
      <c r="X33" s="309">
        <f>X32*1</f>
        <v>151656.44827586209</v>
      </c>
      <c r="Y33" s="307"/>
      <c r="Z33" s="307"/>
      <c r="AA33" s="308"/>
      <c r="AB33" s="291"/>
      <c r="AC33" s="292"/>
      <c r="AD33" s="292"/>
      <c r="AE33" s="292"/>
      <c r="AF33" s="293"/>
      <c r="AG33" s="291">
        <f>AG32*1</f>
        <v>354120.68965517241</v>
      </c>
      <c r="AH33" s="292"/>
      <c r="AI33" s="292"/>
      <c r="AJ33" s="293"/>
      <c r="AK33" s="291">
        <f>AK32*1</f>
        <v>183129.31034482759</v>
      </c>
      <c r="AL33" s="292"/>
      <c r="AM33" s="292"/>
      <c r="AN33" s="293"/>
      <c r="AO33" s="291">
        <f>AO32*1</f>
        <v>112530</v>
      </c>
      <c r="AP33" s="292"/>
      <c r="AQ33" s="292"/>
      <c r="AR33" s="292"/>
      <c r="AS33" s="293"/>
      <c r="AT33" s="291">
        <f>AT32*1</f>
        <v>108900</v>
      </c>
      <c r="AU33" s="292"/>
      <c r="AV33" s="292"/>
      <c r="AW33" s="293"/>
      <c r="AX33" s="291">
        <f>AX32*1</f>
        <v>112530</v>
      </c>
      <c r="AY33" s="292"/>
      <c r="AZ33" s="292"/>
      <c r="BA33" s="292"/>
      <c r="BB33" s="305"/>
      <c r="BC33" s="255"/>
      <c r="BD33" s="258">
        <f>SUM(B32:BB32)</f>
        <v>2499501</v>
      </c>
    </row>
    <row r="34" spans="1:56" ht="13.5" thickBot="1">
      <c r="A34" s="182" t="s">
        <v>78</v>
      </c>
      <c r="B34" s="302">
        <f>B27+B33</f>
        <v>0</v>
      </c>
      <c r="C34" s="300"/>
      <c r="D34" s="300"/>
      <c r="E34" s="300"/>
      <c r="F34" s="301"/>
      <c r="G34" s="299">
        <f>G33+G27</f>
        <v>54170.729999999974</v>
      </c>
      <c r="H34" s="300"/>
      <c r="I34" s="300"/>
      <c r="J34" s="301"/>
      <c r="K34" s="299">
        <f>K33+K27</f>
        <v>2200869.6966666668</v>
      </c>
      <c r="L34" s="300"/>
      <c r="M34" s="300"/>
      <c r="N34" s="301"/>
      <c r="O34" s="299">
        <f>O33+O27</f>
        <v>903547.93333333335</v>
      </c>
      <c r="P34" s="300"/>
      <c r="Q34" s="300"/>
      <c r="R34" s="301"/>
      <c r="S34" s="299">
        <f>S33+S27</f>
        <v>1103749.0017241379</v>
      </c>
      <c r="T34" s="300"/>
      <c r="U34" s="300"/>
      <c r="V34" s="300"/>
      <c r="W34" s="301"/>
      <c r="X34" s="299">
        <f>X33+X27</f>
        <v>220949.48827586207</v>
      </c>
      <c r="Y34" s="300"/>
      <c r="Z34" s="300"/>
      <c r="AA34" s="301"/>
      <c r="AB34" s="299">
        <f>AB27+AF33</f>
        <v>44317</v>
      </c>
      <c r="AC34" s="300"/>
      <c r="AD34" s="300"/>
      <c r="AE34" s="300"/>
      <c r="AF34" s="301"/>
      <c r="AG34" s="299">
        <f>AG33+AG27</f>
        <v>823592.68965517241</v>
      </c>
      <c r="AH34" s="300"/>
      <c r="AI34" s="300"/>
      <c r="AJ34" s="301"/>
      <c r="AK34" s="299">
        <f>AK33+AK27</f>
        <v>644625.31034482759</v>
      </c>
      <c r="AL34" s="300"/>
      <c r="AM34" s="300"/>
      <c r="AN34" s="301"/>
      <c r="AO34" s="299">
        <f>AO33+AO27</f>
        <v>112530</v>
      </c>
      <c r="AP34" s="300"/>
      <c r="AQ34" s="300"/>
      <c r="AR34" s="300"/>
      <c r="AS34" s="301"/>
      <c r="AT34" s="299">
        <f>AT33+AT27</f>
        <v>108900</v>
      </c>
      <c r="AU34" s="300"/>
      <c r="AV34" s="300"/>
      <c r="AW34" s="301"/>
      <c r="AX34" s="299">
        <f>AX27+AX33</f>
        <v>112530</v>
      </c>
      <c r="AY34" s="300"/>
      <c r="AZ34" s="300"/>
      <c r="BA34" s="300"/>
      <c r="BB34" s="306"/>
      <c r="BC34" s="257"/>
      <c r="BD34" s="265">
        <f>SUM(B34:BB34)</f>
        <v>6329781.8500000006</v>
      </c>
    </row>
    <row r="35" spans="1:56" ht="23.25" thickBot="1">
      <c r="A35" s="183" t="s">
        <v>75</v>
      </c>
      <c r="B35" s="302">
        <f>B34+B23</f>
        <v>0</v>
      </c>
      <c r="C35" s="300"/>
      <c r="D35" s="300"/>
      <c r="E35" s="300"/>
      <c r="F35" s="301"/>
      <c r="G35" s="299">
        <f>G34+G23</f>
        <v>7288072.7299999995</v>
      </c>
      <c r="H35" s="300"/>
      <c r="I35" s="300"/>
      <c r="J35" s="301"/>
      <c r="K35" s="363">
        <f>K34+K23</f>
        <v>9166875.6966666672</v>
      </c>
      <c r="L35" s="364"/>
      <c r="M35" s="364"/>
      <c r="N35" s="365"/>
      <c r="O35" s="299">
        <f>O23+O34</f>
        <v>9313701.9333333336</v>
      </c>
      <c r="P35" s="303"/>
      <c r="Q35" s="303"/>
      <c r="R35" s="304"/>
      <c r="S35" s="299">
        <f>S34+S23</f>
        <v>9757327.0017241389</v>
      </c>
      <c r="T35" s="300"/>
      <c r="U35" s="300"/>
      <c r="V35" s="300"/>
      <c r="W35" s="301"/>
      <c r="X35" s="299">
        <f>X34+X23</f>
        <v>1743074.4882758621</v>
      </c>
      <c r="Y35" s="300"/>
      <c r="Z35" s="300"/>
      <c r="AA35" s="301"/>
      <c r="AB35" s="299">
        <f>AB34+AB23</f>
        <v>289997</v>
      </c>
      <c r="AC35" s="300"/>
      <c r="AD35" s="300"/>
      <c r="AE35" s="300"/>
      <c r="AF35" s="301"/>
      <c r="AG35" s="299">
        <f>AG34+AG23</f>
        <v>823592.68965517241</v>
      </c>
      <c r="AH35" s="300"/>
      <c r="AI35" s="300"/>
      <c r="AJ35" s="301"/>
      <c r="AK35" s="299">
        <f>AK34+AK23</f>
        <v>644625.31034482759</v>
      </c>
      <c r="AL35" s="300"/>
      <c r="AM35" s="300"/>
      <c r="AN35" s="301"/>
      <c r="AO35" s="299">
        <f>AO34+AO23</f>
        <v>112530</v>
      </c>
      <c r="AP35" s="300"/>
      <c r="AQ35" s="300"/>
      <c r="AR35" s="300"/>
      <c r="AS35" s="301"/>
      <c r="AT35" s="299">
        <f>AT34+AV23</f>
        <v>108900</v>
      </c>
      <c r="AU35" s="300"/>
      <c r="AV35" s="300"/>
      <c r="AW35" s="301"/>
      <c r="AX35" s="299">
        <f>AX34+AX23</f>
        <v>112530</v>
      </c>
      <c r="AY35" s="300"/>
      <c r="AZ35" s="300"/>
      <c r="BA35" s="300"/>
      <c r="BB35" s="306"/>
      <c r="BC35" s="257"/>
      <c r="BD35" s="265">
        <f>SUM(B35:BB35)</f>
        <v>39361226.850000001</v>
      </c>
    </row>
  </sheetData>
  <mergeCells count="189">
    <mergeCell ref="AT13:AW13"/>
    <mergeCell ref="AX13:BB13"/>
    <mergeCell ref="AO17:AS17"/>
    <mergeCell ref="B21:F21"/>
    <mergeCell ref="G21:J21"/>
    <mergeCell ref="K21:N21"/>
    <mergeCell ref="O21:R21"/>
    <mergeCell ref="AT17:AW17"/>
    <mergeCell ref="AX17:BB17"/>
    <mergeCell ref="AK21:AN21"/>
    <mergeCell ref="AO21:AS21"/>
    <mergeCell ref="AT21:AW21"/>
    <mergeCell ref="AX21:BB21"/>
    <mergeCell ref="S21:W21"/>
    <mergeCell ref="X21:AA21"/>
    <mergeCell ref="AB21:AF21"/>
    <mergeCell ref="AG21:AJ21"/>
    <mergeCell ref="AO9:AS9"/>
    <mergeCell ref="AB17:AF17"/>
    <mergeCell ref="AG17:AJ17"/>
    <mergeCell ref="AK17:AN17"/>
    <mergeCell ref="S13:W13"/>
    <mergeCell ref="X13:AA13"/>
    <mergeCell ref="AB13:AF13"/>
    <mergeCell ref="AG13:AJ13"/>
    <mergeCell ref="AO13:AS13"/>
    <mergeCell ref="B13:F13"/>
    <mergeCell ref="G13:J13"/>
    <mergeCell ref="K13:N13"/>
    <mergeCell ref="O13:R13"/>
    <mergeCell ref="S17:W17"/>
    <mergeCell ref="X17:AA17"/>
    <mergeCell ref="B17:F17"/>
    <mergeCell ref="G17:J17"/>
    <mergeCell ref="K17:N17"/>
    <mergeCell ref="O17:R17"/>
    <mergeCell ref="AK13:AN13"/>
    <mergeCell ref="G14:J14"/>
    <mergeCell ref="K14:N14"/>
    <mergeCell ref="O14:R14"/>
    <mergeCell ref="S14:W14"/>
    <mergeCell ref="X14:AA14"/>
    <mergeCell ref="AB14:AF14"/>
    <mergeCell ref="X9:AA9"/>
    <mergeCell ref="AB9:AF9"/>
    <mergeCell ref="AG9:AJ9"/>
    <mergeCell ref="B9:F9"/>
    <mergeCell ref="G9:J9"/>
    <mergeCell ref="K9:N9"/>
    <mergeCell ref="O9:R9"/>
    <mergeCell ref="AT9:AW9"/>
    <mergeCell ref="AX9:BB9"/>
    <mergeCell ref="S23:W23"/>
    <mergeCell ref="X23:AA23"/>
    <mergeCell ref="AB23:AF23"/>
    <mergeCell ref="AB22:AF22"/>
    <mergeCell ref="AB10:AF10"/>
    <mergeCell ref="S22:W22"/>
    <mergeCell ref="X22:AA22"/>
    <mergeCell ref="S9:W9"/>
    <mergeCell ref="A1:A2"/>
    <mergeCell ref="B23:F23"/>
    <mergeCell ref="G23:J23"/>
    <mergeCell ref="K23:N23"/>
    <mergeCell ref="B1:F1"/>
    <mergeCell ref="G1:J1"/>
    <mergeCell ref="K1:N1"/>
    <mergeCell ref="B5:F5"/>
    <mergeCell ref="G5:J5"/>
    <mergeCell ref="K5:N5"/>
    <mergeCell ref="O23:R23"/>
    <mergeCell ref="B6:F6"/>
    <mergeCell ref="G6:J6"/>
    <mergeCell ref="K6:N6"/>
    <mergeCell ref="B10:F10"/>
    <mergeCell ref="B22:F22"/>
    <mergeCell ref="G22:J22"/>
    <mergeCell ref="K22:N22"/>
    <mergeCell ref="O22:R22"/>
    <mergeCell ref="B18:F18"/>
    <mergeCell ref="BC1:BC2"/>
    <mergeCell ref="AK1:AN1"/>
    <mergeCell ref="AO1:AS1"/>
    <mergeCell ref="AT1:AW1"/>
    <mergeCell ref="AX1:BB1"/>
    <mergeCell ref="AG5:AJ5"/>
    <mergeCell ref="AK5:AN5"/>
    <mergeCell ref="BD1:BD2"/>
    <mergeCell ref="O6:R6"/>
    <mergeCell ref="S6:W6"/>
    <mergeCell ref="X6:AA6"/>
    <mergeCell ref="O1:R1"/>
    <mergeCell ref="S1:W1"/>
    <mergeCell ref="X1:AA1"/>
    <mergeCell ref="AB6:AF6"/>
    <mergeCell ref="AB1:AF1"/>
    <mergeCell ref="AG1:AJ1"/>
    <mergeCell ref="O18:R18"/>
    <mergeCell ref="S18:W18"/>
    <mergeCell ref="AO5:AS5"/>
    <mergeCell ref="AT5:AW5"/>
    <mergeCell ref="AX5:BB5"/>
    <mergeCell ref="AB5:AF5"/>
    <mergeCell ref="O5:R5"/>
    <mergeCell ref="S5:W5"/>
    <mergeCell ref="X5:AA5"/>
    <mergeCell ref="AK9:AN9"/>
    <mergeCell ref="X18:AA18"/>
    <mergeCell ref="AB18:AF18"/>
    <mergeCell ref="B14:F14"/>
    <mergeCell ref="G10:J10"/>
    <mergeCell ref="K10:N10"/>
    <mergeCell ref="O10:R10"/>
    <mergeCell ref="S10:W10"/>
    <mergeCell ref="X10:AA10"/>
    <mergeCell ref="G18:J18"/>
    <mergeCell ref="K18:N18"/>
    <mergeCell ref="AO26:AS26"/>
    <mergeCell ref="AG26:AJ26"/>
    <mergeCell ref="B26:F26"/>
    <mergeCell ref="G26:J26"/>
    <mergeCell ref="K26:N26"/>
    <mergeCell ref="O26:R26"/>
    <mergeCell ref="S26:W26"/>
    <mergeCell ref="AB26:AF26"/>
    <mergeCell ref="X26:AA26"/>
    <mergeCell ref="AK26:AN26"/>
    <mergeCell ref="S27:W27"/>
    <mergeCell ref="X27:AA27"/>
    <mergeCell ref="AK27:AN27"/>
    <mergeCell ref="AO27:AS27"/>
    <mergeCell ref="B27:F27"/>
    <mergeCell ref="G27:J27"/>
    <mergeCell ref="K27:N27"/>
    <mergeCell ref="O27:R27"/>
    <mergeCell ref="AB27:AF27"/>
    <mergeCell ref="B32:F32"/>
    <mergeCell ref="G32:J32"/>
    <mergeCell ref="K32:N32"/>
    <mergeCell ref="O32:R32"/>
    <mergeCell ref="S32:W32"/>
    <mergeCell ref="AB32:AF32"/>
    <mergeCell ref="X32:AA32"/>
    <mergeCell ref="S33:W33"/>
    <mergeCell ref="X33:AA33"/>
    <mergeCell ref="AK33:AN33"/>
    <mergeCell ref="AO33:AS33"/>
    <mergeCell ref="AG33:AJ33"/>
    <mergeCell ref="B33:F33"/>
    <mergeCell ref="G33:J33"/>
    <mergeCell ref="K33:N33"/>
    <mergeCell ref="O33:R33"/>
    <mergeCell ref="AB33:AF33"/>
    <mergeCell ref="AO34:AS34"/>
    <mergeCell ref="B34:F34"/>
    <mergeCell ref="G34:J34"/>
    <mergeCell ref="K34:N34"/>
    <mergeCell ref="O34:R34"/>
    <mergeCell ref="S34:W34"/>
    <mergeCell ref="AG34:AJ34"/>
    <mergeCell ref="AB34:AF34"/>
    <mergeCell ref="X34:AA34"/>
    <mergeCell ref="AK34:AN34"/>
    <mergeCell ref="S35:W35"/>
    <mergeCell ref="X35:AA35"/>
    <mergeCell ref="AK35:AN35"/>
    <mergeCell ref="AO35:AS35"/>
    <mergeCell ref="AG35:AJ35"/>
    <mergeCell ref="B35:F35"/>
    <mergeCell ref="G35:J35"/>
    <mergeCell ref="K35:N35"/>
    <mergeCell ref="O35:R35"/>
    <mergeCell ref="AB35:AF35"/>
    <mergeCell ref="AT35:AW35"/>
    <mergeCell ref="AX33:BB33"/>
    <mergeCell ref="AX34:BB34"/>
    <mergeCell ref="AX35:BB35"/>
    <mergeCell ref="AT34:AW34"/>
    <mergeCell ref="AT33:AW33"/>
    <mergeCell ref="AX26:BB26"/>
    <mergeCell ref="AX32:BB32"/>
    <mergeCell ref="AG27:AJ27"/>
    <mergeCell ref="AG32:AJ32"/>
    <mergeCell ref="AT32:AW32"/>
    <mergeCell ref="AT26:AW26"/>
    <mergeCell ref="AX27:BA27"/>
    <mergeCell ref="AT27:AW27"/>
    <mergeCell ref="AO32:AS32"/>
    <mergeCell ref="AK32:AN32"/>
  </mergeCells>
  <phoneticPr fontId="0" type="noConversion"/>
  <pageMargins left="0.7" right="0.7" top="0.75" bottom="0.75" header="0.3" footer="0.3"/>
  <pageSetup scale="5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topLeftCell="D1" workbookViewId="0">
      <selection activeCell="M4" sqref="M4"/>
    </sheetView>
  </sheetViews>
  <sheetFormatPr defaultRowHeight="12.75"/>
  <cols>
    <col min="1" max="1" width="2.140625" customWidth="1"/>
    <col min="2" max="2" width="16.42578125" customWidth="1"/>
    <col min="3" max="3" width="16.5703125" customWidth="1"/>
    <col min="4" max="4" width="16.28515625" customWidth="1"/>
    <col min="5" max="5" width="15" bestFit="1" customWidth="1"/>
    <col min="6" max="6" width="16.28515625" customWidth="1"/>
    <col min="7" max="7" width="14.28515625" customWidth="1"/>
    <col min="8" max="8" width="14.42578125" customWidth="1"/>
    <col min="9" max="9" width="15.42578125" customWidth="1"/>
    <col min="10" max="10" width="13.28515625" customWidth="1"/>
    <col min="11" max="11" width="12.85546875" customWidth="1"/>
    <col min="12" max="12" width="13.28515625" customWidth="1"/>
    <col min="13" max="13" width="12.7109375" customWidth="1"/>
    <col min="14" max="14" width="17.5703125" customWidth="1"/>
    <col min="15" max="15" width="13.85546875" customWidth="1"/>
  </cols>
  <sheetData>
    <row r="1" spans="2:15" ht="20.25">
      <c r="B1" s="97" t="s">
        <v>28</v>
      </c>
    </row>
    <row r="2" spans="2:15" ht="13.5" thickBot="1">
      <c r="E2" s="4"/>
      <c r="F2" s="4"/>
      <c r="G2" s="4"/>
      <c r="H2" s="4"/>
      <c r="I2" s="4"/>
      <c r="J2" s="4"/>
    </row>
    <row r="3" spans="2:15" ht="30.75" customHeight="1" thickBot="1">
      <c r="B3" s="98" t="s">
        <v>29</v>
      </c>
      <c r="C3" s="385" t="s">
        <v>30</v>
      </c>
      <c r="D3" s="386"/>
      <c r="E3" s="387" t="s">
        <v>31</v>
      </c>
      <c r="F3" s="388"/>
      <c r="G3" s="388"/>
      <c r="H3" s="388"/>
      <c r="I3" s="389" t="s">
        <v>32</v>
      </c>
      <c r="J3" s="390"/>
      <c r="K3" s="391"/>
      <c r="L3" s="389" t="s">
        <v>33</v>
      </c>
      <c r="M3" s="392"/>
      <c r="N3" s="393" t="s">
        <v>34</v>
      </c>
      <c r="O3" s="394"/>
    </row>
    <row r="4" spans="2:15">
      <c r="B4" s="99" t="s">
        <v>35</v>
      </c>
      <c r="C4" s="100" t="s">
        <v>36</v>
      </c>
      <c r="D4" s="101" t="s">
        <v>37</v>
      </c>
      <c r="E4" s="102" t="s">
        <v>38</v>
      </c>
      <c r="F4" s="103" t="s">
        <v>39</v>
      </c>
      <c r="G4" s="103" t="s">
        <v>40</v>
      </c>
      <c r="H4" s="104" t="s">
        <v>41</v>
      </c>
      <c r="I4" s="105" t="s">
        <v>42</v>
      </c>
      <c r="J4" s="105" t="s">
        <v>43</v>
      </c>
      <c r="K4" s="105" t="s">
        <v>44</v>
      </c>
      <c r="L4" s="105" t="s">
        <v>42</v>
      </c>
      <c r="M4" s="105" t="s">
        <v>45</v>
      </c>
      <c r="N4" s="105" t="s">
        <v>46</v>
      </c>
      <c r="O4" s="105" t="s">
        <v>47</v>
      </c>
    </row>
    <row r="5" spans="2:15" s="114" customFormat="1">
      <c r="B5" s="106" t="s">
        <v>48</v>
      </c>
      <c r="C5" s="107">
        <v>1000000</v>
      </c>
      <c r="D5" s="108">
        <v>500000</v>
      </c>
      <c r="E5" s="109">
        <v>250000</v>
      </c>
      <c r="F5" s="110">
        <v>500000</v>
      </c>
      <c r="G5" s="110">
        <v>500000</v>
      </c>
      <c r="H5" s="108">
        <v>350000</v>
      </c>
      <c r="I5" s="111">
        <v>328291</v>
      </c>
      <c r="J5" s="112">
        <v>147000</v>
      </c>
      <c r="K5" s="112">
        <v>424710</v>
      </c>
      <c r="L5" s="113">
        <v>300000</v>
      </c>
      <c r="M5" s="113">
        <v>299500</v>
      </c>
      <c r="N5" s="113">
        <v>250000</v>
      </c>
      <c r="O5" s="113">
        <v>500000</v>
      </c>
    </row>
    <row r="6" spans="2:15" s="122" customFormat="1" ht="13.5" thickBot="1">
      <c r="B6" s="115" t="s">
        <v>49</v>
      </c>
      <c r="C6" s="116">
        <v>1000000</v>
      </c>
      <c r="D6" s="117">
        <v>500000</v>
      </c>
      <c r="E6" s="118">
        <v>250000</v>
      </c>
      <c r="F6" s="119">
        <v>500000</v>
      </c>
      <c r="G6" s="119">
        <v>500000</v>
      </c>
      <c r="H6" s="117">
        <v>350000</v>
      </c>
      <c r="I6" s="120">
        <v>328291</v>
      </c>
      <c r="J6" s="121">
        <v>147000</v>
      </c>
      <c r="K6" s="121">
        <v>424710</v>
      </c>
      <c r="L6" s="121">
        <v>300000</v>
      </c>
      <c r="M6" s="121">
        <v>299500</v>
      </c>
      <c r="N6" s="121">
        <v>250000</v>
      </c>
      <c r="O6" s="121">
        <v>500000</v>
      </c>
    </row>
    <row r="7" spans="2:15">
      <c r="B7" t="s">
        <v>50</v>
      </c>
    </row>
    <row r="8" spans="2:15">
      <c r="J8" t="s">
        <v>51</v>
      </c>
    </row>
    <row r="9" spans="2:15" ht="13.5" thickBot="1"/>
    <row r="10" spans="2:15" ht="16.5" thickBot="1">
      <c r="B10" s="123" t="s">
        <v>52</v>
      </c>
      <c r="C10" s="124" t="s">
        <v>53</v>
      </c>
      <c r="D10" s="381" t="s">
        <v>54</v>
      </c>
      <c r="E10" s="382"/>
      <c r="F10" s="382"/>
      <c r="G10" s="382"/>
      <c r="H10" s="382"/>
      <c r="I10" s="382"/>
      <c r="J10" s="382"/>
      <c r="K10" s="382"/>
      <c r="L10" s="382"/>
      <c r="M10" s="382"/>
      <c r="N10" s="383"/>
      <c r="O10" s="384"/>
    </row>
    <row r="11" spans="2:15" ht="12.75" customHeight="1">
      <c r="B11" s="125" t="s">
        <v>35</v>
      </c>
      <c r="C11" s="126" t="s">
        <v>55</v>
      </c>
      <c r="D11" s="127" t="s">
        <v>56</v>
      </c>
      <c r="E11" s="128">
        <v>40483</v>
      </c>
      <c r="F11" s="128">
        <v>40513</v>
      </c>
      <c r="G11" s="129">
        <v>40575</v>
      </c>
      <c r="H11" s="130">
        <v>40603</v>
      </c>
      <c r="I11" s="131">
        <v>40634</v>
      </c>
      <c r="J11" s="131">
        <v>40664</v>
      </c>
      <c r="K11" s="132">
        <v>40705</v>
      </c>
      <c r="L11" s="133">
        <v>40735</v>
      </c>
      <c r="M11" s="133">
        <v>40766</v>
      </c>
      <c r="N11" s="132">
        <v>40787</v>
      </c>
      <c r="O11" s="134">
        <v>40817</v>
      </c>
    </row>
    <row r="12" spans="2:15" s="114" customFormat="1" ht="12.75" customHeight="1">
      <c r="B12" s="112" t="s">
        <v>57</v>
      </c>
      <c r="C12" s="135">
        <v>1469479258</v>
      </c>
      <c r="D12" s="136">
        <v>60496490</v>
      </c>
      <c r="E12" s="137">
        <v>19696024</v>
      </c>
      <c r="F12" s="137">
        <v>41509124</v>
      </c>
      <c r="G12" s="138">
        <v>10648988</v>
      </c>
      <c r="H12" s="139">
        <v>327708877</v>
      </c>
      <c r="I12" s="137">
        <v>50103675</v>
      </c>
      <c r="J12" s="140">
        <v>79486232</v>
      </c>
      <c r="K12" s="137">
        <v>4762326</v>
      </c>
      <c r="L12" s="137">
        <v>3657061</v>
      </c>
      <c r="M12" s="137">
        <v>63846135</v>
      </c>
      <c r="N12" s="137">
        <v>63851814</v>
      </c>
      <c r="O12" s="141" t="s">
        <v>58</v>
      </c>
    </row>
    <row r="13" spans="2:15" s="151" customFormat="1" ht="13.5" thickBot="1">
      <c r="B13" s="142" t="s">
        <v>49</v>
      </c>
      <c r="C13" s="143">
        <v>3973447</v>
      </c>
      <c r="D13" s="144">
        <v>202210</v>
      </c>
      <c r="E13" s="145">
        <v>85551</v>
      </c>
      <c r="F13" s="145">
        <v>174045</v>
      </c>
      <c r="G13" s="146">
        <v>54170.729999999974</v>
      </c>
      <c r="H13" s="147">
        <v>1679030.6300000001</v>
      </c>
      <c r="I13" s="148">
        <v>425387</v>
      </c>
      <c r="J13" s="149">
        <v>627114.44999999995</v>
      </c>
      <c r="K13" s="145">
        <v>69293.039999999994</v>
      </c>
      <c r="L13" s="145">
        <v>44317</v>
      </c>
      <c r="M13" s="145">
        <v>469472</v>
      </c>
      <c r="N13" s="145">
        <v>461496</v>
      </c>
      <c r="O13" s="150" t="s">
        <v>59</v>
      </c>
    </row>
    <row r="14" spans="2:15">
      <c r="B14" s="21"/>
    </row>
    <row r="15" spans="2:15">
      <c r="B15" t="s">
        <v>60</v>
      </c>
      <c r="C15" s="152"/>
      <c r="G15" s="114"/>
      <c r="H15" s="114"/>
      <c r="I15" s="114"/>
    </row>
    <row r="16" spans="2:15">
      <c r="I16" s="153"/>
    </row>
    <row r="18" spans="2:12" ht="15">
      <c r="B18" s="154" t="s">
        <v>61</v>
      </c>
    </row>
    <row r="20" spans="2:12">
      <c r="I20" t="s">
        <v>51</v>
      </c>
      <c r="L20" t="s">
        <v>51</v>
      </c>
    </row>
  </sheetData>
  <mergeCells count="6">
    <mergeCell ref="D10:O10"/>
    <mergeCell ref="C3:D3"/>
    <mergeCell ref="E3:H3"/>
    <mergeCell ref="I3:K3"/>
    <mergeCell ref="L3:M3"/>
    <mergeCell ref="N3:O3"/>
  </mergeCells>
  <phoneticPr fontId="0" type="noConversion"/>
  <pageMargins left="0.17" right="0.25" top="0.49" bottom="0.75" header="0.3" footer="0.3"/>
  <pageSetup paperSize="5" scale="8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</vt:lpstr>
      <vt:lpstr>2010</vt:lpstr>
      <vt:lpstr>2011</vt:lpstr>
      <vt:lpstr>Online_RA</vt:lpstr>
    </vt:vector>
  </TitlesOfParts>
  <Company>InterPublicGroup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Barber</dc:creator>
  <cp:lastModifiedBy>smuruga2</cp:lastModifiedBy>
  <cp:lastPrinted>2011-12-05T20:44:11Z</cp:lastPrinted>
  <dcterms:created xsi:type="dcterms:W3CDTF">2011-10-14T15:41:31Z</dcterms:created>
  <dcterms:modified xsi:type="dcterms:W3CDTF">2011-12-06T22:37:15Z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